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2026 SALARIES\"/>
    </mc:Choice>
  </mc:AlternateContent>
  <bookViews>
    <workbookView xWindow="0" yWindow="0" windowWidth="19200" windowHeight="6795" tabRatio="597" activeTab="1"/>
  </bookViews>
  <sheets>
    <sheet name="JANUARY 2026" sheetId="1" r:id="rId1"/>
    <sheet name="MEMO" sheetId="68" r:id="rId2"/>
    <sheet name="Changes in PAYE (4)" sheetId="237" r:id="rId3"/>
    <sheet name="FCTIRS Template" sheetId="240" r:id="rId4"/>
    <sheet name="Rent Relief" sheetId="245" r:id="rId5"/>
    <sheet name=" Promotions" sheetId="246" r:id="rId6"/>
    <sheet name="Sheet20" sheetId="244" r:id="rId7"/>
    <sheet name="2026 ENHANCED WELFARE" sheetId="243" r:id="rId8"/>
    <sheet name="Sheet19" sheetId="241" r:id="rId9"/>
    <sheet name="New Steps, Pensions &amp; NHF" sheetId="238" r:id="rId10"/>
    <sheet name="Basic &amp; Pensions (2)" sheetId="239" r:id="rId11"/>
    <sheet name="Sum " sheetId="235" r:id="rId12"/>
    <sheet name="2025 Promotions (2)" sheetId="232" r:id="rId13"/>
    <sheet name="Christmas Welfare 2025 (2)" sheetId="233" r:id="rId14"/>
    <sheet name="Sum of Welfare (3)" sheetId="234" r:id="rId15"/>
    <sheet name="New NHF Enrolment (3)" sheetId="236" r:id="rId16"/>
    <sheet name="Sheet17" sheetId="231" r:id="rId17"/>
    <sheet name="Changes in PAYE (3)" sheetId="227" r:id="rId18"/>
    <sheet name="New NHF Enrolment (2)" sheetId="230" r:id="rId19"/>
    <sheet name="Sheet16" sheetId="228" r:id="rId20"/>
    <sheet name="2025 Promotions" sheetId="219" r:id="rId21"/>
    <sheet name="Conversion" sheetId="220" r:id="rId22"/>
    <sheet name="PAYE - Conversion" sheetId="223" r:id="rId23"/>
    <sheet name="Sheet15" sheetId="225" r:id="rId24"/>
    <sheet name="Changes in PAYE (2)" sheetId="224" r:id="rId25"/>
    <sheet name="Sheet14" sheetId="222" r:id="rId26"/>
    <sheet name="New Contract" sheetId="221" r:id="rId27"/>
    <sheet name="Changes in Aug." sheetId="218" r:id="rId28"/>
    <sheet name="Shift duty" sheetId="214" r:id="rId29"/>
    <sheet name="Changes in July" sheetId="215" r:id="rId30"/>
    <sheet name="JULY 2025 (2)" sheetId="217" r:id="rId31"/>
    <sheet name="Sheet13" sheetId="216" r:id="rId32"/>
    <sheet name="Basic &amp; Pensions" sheetId="207" r:id="rId33"/>
    <sheet name="Changes in PAYE" sheetId="209" r:id="rId34"/>
    <sheet name="New NHF Enrolment" sheetId="211" r:id="rId35"/>
    <sheet name="PAYE of NHF Enrol" sheetId="212" r:id="rId36"/>
    <sheet name="Arrears Jan-May" sheetId="213" r:id="rId37"/>
    <sheet name="Sheet12" sheetId="210" r:id="rId38"/>
    <sheet name="Wage Award" sheetId="206" r:id="rId39"/>
    <sheet name="N0 on GL" sheetId="203" r:id="rId40"/>
    <sheet name="Total" sheetId="205" r:id="rId41"/>
    <sheet name="2025 GL STEPS" sheetId="195" r:id="rId42"/>
    <sheet name="Welfare June 25" sheetId="200" r:id="rId43"/>
    <sheet name="Sum of Welfare (2)" sheetId="201" r:id="rId44"/>
    <sheet name="Sheet11" sheetId="199" r:id="rId45"/>
    <sheet name="PAYE" sheetId="196" r:id="rId46"/>
    <sheet name="MAY New PAYE  (3)" sheetId="198" r:id="rId47"/>
    <sheet name="Sheet7" sheetId="194" r:id="rId48"/>
    <sheet name="Changes" sheetId="192" r:id="rId49"/>
    <sheet name="2024 Promotion Arrears" sheetId="176" r:id="rId50"/>
    <sheet name="APRIL New PAYE  (2)" sheetId="193" r:id="rId51"/>
    <sheet name="Sheet6" sheetId="191" r:id="rId52"/>
    <sheet name=" PAYE regul" sheetId="182" r:id="rId53"/>
    <sheet name="Promotion in Sept" sheetId="172" r:id="rId54"/>
    <sheet name="Tax on Arrears" sheetId="183" r:id="rId55"/>
    <sheet name="Stoppage of Salary" sheetId="184" r:id="rId56"/>
    <sheet name="New PAYE" sheetId="180" r:id="rId57"/>
    <sheet name="New Pensions Promotion" sheetId="181" r:id="rId58"/>
    <sheet name="Conversion in Nov" sheetId="179" r:id="rId59"/>
    <sheet name="Christmas Welfare 2024" sheetId="186" r:id="rId60"/>
    <sheet name="Sum of Welfare" sheetId="185" r:id="rId61"/>
    <sheet name="Staff Bonus" sheetId="188" r:id="rId62"/>
    <sheet name="Sum of Bonus" sheetId="187" r:id="rId63"/>
    <sheet name="Bonus PAYE" sheetId="190" r:id="rId64"/>
    <sheet name="Sheet5" sheetId="189" r:id="rId65"/>
    <sheet name="New Enrolmt" sheetId="170" r:id="rId66"/>
    <sheet name="1ST 28 DAYS" sheetId="163" r:id="rId67"/>
    <sheet name="Conversion in Sept" sheetId="174" r:id="rId68"/>
    <sheet name="Conversion &amp; Enrol Effect" sheetId="164" r:id="rId69"/>
    <sheet name="Converted Staff PAYE" sheetId="169" r:id="rId70"/>
    <sheet name="Movt to Contract" sheetId="167" r:id="rId71"/>
    <sheet name="Sheet10" sheetId="168" r:id="rId72"/>
    <sheet name="Sheet8" sheetId="166" r:id="rId73"/>
    <sheet name="Welfare June" sheetId="161" r:id="rId74"/>
    <sheet name="Welfare Summary" sheetId="162" r:id="rId75"/>
    <sheet name="Arrears of Res. Allow" sheetId="159" r:id="rId76"/>
    <sheet name="Additional Leg Duty Allowance" sheetId="153" r:id="rId77"/>
    <sheet name="March New PAYE " sheetId="154" r:id="rId78"/>
    <sheet name="Upgrade in March" sheetId="155" r:id="rId79"/>
    <sheet name="New NHF Deduction" sheetId="156" r:id="rId80"/>
    <sheet name="Regularisation" sheetId="152" r:id="rId81"/>
    <sheet name="Sallah Welfare, April 2024" sheetId="158" r:id="rId82"/>
    <sheet name="Sheet4" sheetId="157" r:id="rId83"/>
    <sheet name="January Arrears" sheetId="149" r:id="rId84"/>
    <sheet name="Tax Reg Sch. " sheetId="146" r:id="rId85"/>
    <sheet name=" Excess Ded Paid" sheetId="142" r:id="rId86"/>
    <sheet name="Changes in Gross &amp; PAYE " sheetId="143" r:id="rId87"/>
    <sheet name="May New PAYE " sheetId="147" r:id="rId88"/>
    <sheet name="Employee Pensions" sheetId="144" r:id="rId89"/>
    <sheet name="Upgrade in Feb." sheetId="150" r:id="rId90"/>
    <sheet name="Coop. Ded for Feb." sheetId="151" r:id="rId91"/>
    <sheet name="ENHANCED WELFARE 2024" sheetId="140" r:id="rId92"/>
    <sheet name="PROMOTIONS " sheetId="131" r:id="rId93"/>
    <sheet name="CHRISTMAS WELFARE" sheetId="135" r:id="rId94"/>
    <sheet name="CHRISTMAS WELFARE 1" sheetId="134" r:id="rId95"/>
    <sheet name="HALF 2023 (2)" sheetId="137" r:id="rId96"/>
    <sheet name="Sheet3" sheetId="136" r:id="rId97"/>
    <sheet name="NEW ENROLMENT IN NOVEMBER (2)" sheetId="132" r:id="rId98"/>
    <sheet name="Regularisation IN NOVEMBER (3)" sheetId="133" r:id="rId99"/>
    <sheet name="Sheet2" sheetId="130" r:id="rId100"/>
    <sheet name="PROMOTIONS" sheetId="129" r:id="rId101"/>
    <sheet name="SALARY STRUCTURE" sheetId="128" r:id="rId102"/>
    <sheet name="Wage Grant" sheetId="124" r:id="rId103"/>
    <sheet name="Wage Grant (2)" sheetId="126" r:id="rId104"/>
    <sheet name="1st 28 days in Nov" sheetId="123" r:id="rId105"/>
    <sheet name="Sallah Welfare April 2023" sheetId="119" r:id="rId106"/>
    <sheet name="Sallah Welfare June 2023" sheetId="120" r:id="rId107"/>
    <sheet name="Sallah Welfare June 2023 Latest" sheetId="121" r:id="rId108"/>
    <sheet name="Sheet1" sheetId="117" r:id="rId109"/>
    <sheet name="January 2023 PAYE" sheetId="115" r:id="rId110"/>
    <sheet name="January 2023 NHF)" sheetId="116" r:id="rId111"/>
    <sheet name="PAYE Computation" sheetId="114" r:id="rId112"/>
    <sheet name="Tax adj August, 2022" sheetId="87" r:id="rId113"/>
    <sheet name="Annual Increement" sheetId="78" r:id="rId114"/>
    <sheet name="Enhanced Welfare 2023 (2)" sheetId="110" r:id="rId115"/>
    <sheet name="Enhanced Welfare 2023 (3)" sheetId="113" r:id="rId116"/>
    <sheet name="17.9" sheetId="4" r:id="rId117"/>
    <sheet name="16.7" sheetId="5" r:id="rId118"/>
    <sheet name="15.7.1" sheetId="6" r:id="rId119"/>
    <sheet name="13.7" sheetId="7" r:id="rId120"/>
    <sheet name="12.7" sheetId="8" r:id="rId121"/>
    <sheet name="10.7" sheetId="9" r:id="rId122"/>
    <sheet name="9.7" sheetId="10" r:id="rId123"/>
    <sheet name="8.7" sheetId="11" r:id="rId124"/>
    <sheet name="SUMMARY" sheetId="12" r:id="rId125"/>
    <sheet name="14.7" sheetId="13" r:id="rId126"/>
    <sheet name="15.7" sheetId="23" r:id="rId127"/>
    <sheet name="Basic Salary" sheetId="61" r:id="rId128"/>
    <sheet name="JUNE 2023 (2)" sheetId="122" r:id="rId129"/>
    <sheet name="Sheet9" sheetId="197" r:id="rId130"/>
  </sheets>
  <externalReferences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</externalReferences>
  <definedNames>
    <definedName name="_xlnm.Print_Area" localSheetId="41">'2025 GL STEPS'!$A$1:$I$201</definedName>
    <definedName name="_xlnm.Print_Area" localSheetId="7">'2026 ENHANCED WELFARE'!$A$1:$G$250</definedName>
    <definedName name="_xlnm.Print_Area" localSheetId="76">'Additional Leg Duty Allowance'!$A$1:$U$19</definedName>
    <definedName name="_xlnm.Print_Area" localSheetId="113">'Annual Increement'!$A$1:$AB$191</definedName>
    <definedName name="_xlnm.Print_Area" localSheetId="36">'Arrears Jan-May'!$A$1:$Q$202</definedName>
    <definedName name="_xlnm.Print_Area" localSheetId="32">'Basic &amp; Pensions'!$A$1:$Q$202</definedName>
    <definedName name="_xlnm.Print_Area" localSheetId="10">'Basic &amp; Pensions (2)'!$A$1:$Q$202</definedName>
    <definedName name="_xlnm.Print_Area" localSheetId="93">'CHRISTMAS WELFARE'!$A$1:$E$196</definedName>
    <definedName name="_xlnm.Print_Area" localSheetId="59">'Christmas Welfare 2024'!$A$1:$E$207</definedName>
    <definedName name="_xlnm.Print_Area" localSheetId="13">'Christmas Welfare 2025 (2)'!$A$1:$E$252</definedName>
    <definedName name="_xlnm.Print_Area" localSheetId="21">Conversion!$A$1:$O$29</definedName>
    <definedName name="_xlnm.Print_Area" localSheetId="114">'Enhanced Welfare 2023 (2)'!$A$1:$G$193</definedName>
    <definedName name="_xlnm.Print_Area" localSheetId="115">'Enhanced Welfare 2023 (3)'!$A$1:$G$193</definedName>
    <definedName name="_xlnm.Print_Area" localSheetId="91">'ENHANCED WELFARE 2024'!$A$1:$G$196</definedName>
    <definedName name="_xlnm.Print_Area" localSheetId="95">'HALF 2023 (2)'!$A$1:$F$195</definedName>
    <definedName name="_xlnm.Print_Area" localSheetId="110">'January 2023 NHF)'!$A$1:$H$191</definedName>
    <definedName name="_xlnm.Print_Area" localSheetId="109">'January 2023 PAYE'!$A$1:$H$191</definedName>
    <definedName name="_xlnm.Print_Area" localSheetId="0">'JANUARY 2026'!$A$1:$U$250</definedName>
    <definedName name="_xlnm.Print_Area" localSheetId="30">'JULY 2025 (2)'!$A$1:$E$227</definedName>
    <definedName name="_xlnm.Print_Area" localSheetId="128">'JUNE 2023 (2)'!$A$1:$D$190</definedName>
    <definedName name="_xlnm.Print_Area" localSheetId="1">MEMO!$A$1:$H$68</definedName>
    <definedName name="_xlnm.Print_Area" localSheetId="97">'NEW ENROLMENT IN NOVEMBER (2)'!$A$1:$X$14</definedName>
    <definedName name="_xlnm.Print_Area" localSheetId="34">'New NHF Enrolment'!$A$1:$J$202</definedName>
    <definedName name="_xlnm.Print_Area" localSheetId="18">'New NHF Enrolment (2)'!$A$1:$J$202</definedName>
    <definedName name="_xlnm.Print_Area" localSheetId="15">'New NHF Enrolment (3)'!$A$1:$J$202</definedName>
    <definedName name="_xlnm.Print_Area" localSheetId="9">'New Steps, Pensions &amp; NHF'!$A$1:$H$251</definedName>
    <definedName name="_xlnm.Print_Area" localSheetId="53">'Promotion in Sept'!$A$1:$V$9</definedName>
    <definedName name="_xlnm.Print_Area" localSheetId="100">PROMOTIONS!$A$1:$AB$47</definedName>
    <definedName name="_xlnm.Print_Area" localSheetId="92">'PROMOTIONS '!$A$1:$AB$27</definedName>
    <definedName name="_xlnm.Print_Area" localSheetId="98">'Regularisation IN NOVEMBER (3)'!$A$1:$X$16</definedName>
    <definedName name="_xlnm.Print_Area" localSheetId="105">'Sallah Welfare April 2023'!$A$1:$E$190</definedName>
    <definedName name="_xlnm.Print_Area" localSheetId="106">'Sallah Welfare June 2023'!$A$1:$E$192</definedName>
    <definedName name="_xlnm.Print_Area" localSheetId="107">'Sallah Welfare June 2023 Latest'!$A$1:$E$189</definedName>
    <definedName name="_xlnm.Print_Area" localSheetId="81">'Sallah Welfare, April 2024'!$A$1:$E$194</definedName>
    <definedName name="_xlnm.Print_Area" localSheetId="61">'Staff Bonus'!$A$1:$F$207</definedName>
    <definedName name="_xlnm.Print_Area" localSheetId="112">'Tax adj August, 2022'!$A$1:$G$202</definedName>
    <definedName name="_xlnm.Print_Area" localSheetId="78">'Upgrade in March'!$A$1:$S$11</definedName>
    <definedName name="_xlnm.Print_Area" localSheetId="102">'Wage Grant'!$A$1:$I$192</definedName>
    <definedName name="_xlnm.Print_Area" localSheetId="103">'Wage Grant (2)'!$A$1:$H$62</definedName>
    <definedName name="_xlnm.Print_Area" localSheetId="73">'Welfare June'!$A$1:$E$194</definedName>
    <definedName name="_xlnm.Print_Area" localSheetId="42">'Welfare June 25'!$A$1:$E$199</definedName>
    <definedName name="_xlnm.Print_Titles" localSheetId="5">' Promotions'!$4:$4</definedName>
    <definedName name="_xlnm.Print_Titles" localSheetId="41">'2025 GL STEPS'!$4:$5</definedName>
    <definedName name="_xlnm.Print_Titles" localSheetId="20">'2025 Promotions'!$4:$4</definedName>
    <definedName name="_xlnm.Print_Titles" localSheetId="12">'2025 Promotions (2)'!$4:$4</definedName>
    <definedName name="_xlnm.Print_Titles" localSheetId="7">'2026 ENHANCED WELFARE'!$4:$5</definedName>
    <definedName name="_xlnm.Print_Titles" localSheetId="76">'Additional Leg Duty Allowance'!$4:$5</definedName>
    <definedName name="_xlnm.Print_Titles" localSheetId="36">'Arrears Jan-May'!$4:$5</definedName>
    <definedName name="_xlnm.Print_Titles" localSheetId="32">'Basic &amp; Pensions'!$4:$5</definedName>
    <definedName name="_xlnm.Print_Titles" localSheetId="10">'Basic &amp; Pensions (2)'!$4:$5</definedName>
    <definedName name="_xlnm.Print_Titles" localSheetId="93">'CHRISTMAS WELFARE'!$4:$5</definedName>
    <definedName name="_xlnm.Print_Titles" localSheetId="59">'Christmas Welfare 2024'!$4:$5</definedName>
    <definedName name="_xlnm.Print_Titles" localSheetId="13">'Christmas Welfare 2025 (2)'!$4:$5</definedName>
    <definedName name="_xlnm.Print_Titles" localSheetId="21">Conversion!$4:$4</definedName>
    <definedName name="_xlnm.Print_Titles" localSheetId="114">'Enhanced Welfare 2023 (2)'!$4:$5</definedName>
    <definedName name="_xlnm.Print_Titles" localSheetId="115">'Enhanced Welfare 2023 (3)'!$4:$5</definedName>
    <definedName name="_xlnm.Print_Titles" localSheetId="91">'ENHANCED WELFARE 2024'!$4:$5</definedName>
    <definedName name="_xlnm.Print_Titles" localSheetId="95">'HALF 2023 (2)'!$4:$5</definedName>
    <definedName name="_xlnm.Print_Titles" localSheetId="110">'January 2023 NHF)'!$4:$5</definedName>
    <definedName name="_xlnm.Print_Titles" localSheetId="109">'January 2023 PAYE'!$4:$5</definedName>
    <definedName name="_xlnm.Print_Titles" localSheetId="0">'JANUARY 2026'!$4:$5</definedName>
    <definedName name="_xlnm.Print_Titles" localSheetId="30">'JULY 2025 (2)'!$4:$5</definedName>
    <definedName name="_xlnm.Print_Titles" localSheetId="128">'JUNE 2023 (2)'!$4:$5</definedName>
    <definedName name="_xlnm.Print_Titles" localSheetId="97">'NEW ENROLMENT IN NOVEMBER (2)'!$4:$5</definedName>
    <definedName name="_xlnm.Print_Titles" localSheetId="34">'New NHF Enrolment'!$4:$5</definedName>
    <definedName name="_xlnm.Print_Titles" localSheetId="18">'New NHF Enrolment (2)'!$4:$5</definedName>
    <definedName name="_xlnm.Print_Titles" localSheetId="15">'New NHF Enrolment (3)'!$4:$5</definedName>
    <definedName name="_xlnm.Print_Titles" localSheetId="9">'New Steps, Pensions &amp; NHF'!$4:$5</definedName>
    <definedName name="_xlnm.Print_Titles" localSheetId="53">'Promotion in Sept'!$4:$5</definedName>
    <definedName name="_xlnm.Print_Titles" localSheetId="100">PROMOTIONS!$4:$5</definedName>
    <definedName name="_xlnm.Print_Titles" localSheetId="92">'PROMOTIONS '!$4:$5</definedName>
    <definedName name="_xlnm.Print_Titles" localSheetId="98">'Regularisation IN NOVEMBER (3)'!$4:$5</definedName>
    <definedName name="_xlnm.Print_Titles" localSheetId="105">'Sallah Welfare April 2023'!$4:$5</definedName>
    <definedName name="_xlnm.Print_Titles" localSheetId="106">'Sallah Welfare June 2023'!$4:$5</definedName>
    <definedName name="_xlnm.Print_Titles" localSheetId="107">'Sallah Welfare June 2023 Latest'!$4:$5</definedName>
    <definedName name="_xlnm.Print_Titles" localSheetId="81">'Sallah Welfare, April 2024'!$4:$5</definedName>
    <definedName name="_xlnm.Print_Titles" localSheetId="61">'Staff Bonus'!$4:$5</definedName>
    <definedName name="_xlnm.Print_Titles" localSheetId="78">'Upgrade in March'!$4:$5</definedName>
    <definedName name="_xlnm.Print_Titles" localSheetId="102">'Wage Grant'!$5:$5</definedName>
    <definedName name="_xlnm.Print_Titles" localSheetId="103">'Wage Grant (2)'!$5:$5</definedName>
    <definedName name="_xlnm.Print_Titles" localSheetId="73">'Welfare June'!$4:$5</definedName>
    <definedName name="_xlnm.Print_Titles" localSheetId="42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M202" i="207"/>
  <c r="J202" i="207"/>
  <c r="E202" i="207"/>
  <c r="C202" i="207"/>
  <c r="M200" i="207"/>
  <c r="J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M39" i="207"/>
  <c r="J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G12" i="207"/>
  <c r="G39" i="207" s="1"/>
  <c r="G200" i="207" s="1"/>
  <c r="G202" i="207" s="1"/>
  <c r="F12" i="207"/>
  <c r="F39" i="207" s="1"/>
  <c r="F200" i="207" s="1"/>
  <c r="F202" i="207" s="1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E225" i="217"/>
  <c r="C225" i="217"/>
  <c r="E224" i="217"/>
  <c r="E157" i="217"/>
  <c r="E143" i="217"/>
  <c r="E137" i="217"/>
  <c r="E129" i="217"/>
  <c r="E119" i="217"/>
  <c r="E110" i="217"/>
  <c r="E96" i="217"/>
  <c r="E85" i="217"/>
  <c r="E72" i="217"/>
  <c r="E67" i="217"/>
  <c r="E53" i="217"/>
  <c r="E44" i="217"/>
  <c r="E3" i="21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K6" i="218"/>
  <c r="I6" i="218"/>
  <c r="O5" i="218"/>
  <c r="N5" i="218"/>
  <c r="M5" i="218"/>
  <c r="L5" i="218"/>
  <c r="K5" i="218"/>
  <c r="J5" i="218"/>
  <c r="I5" i="218"/>
  <c r="H5" i="218"/>
  <c r="G5" i="218"/>
  <c r="F5" i="218"/>
  <c r="E5" i="218"/>
  <c r="D5" i="218"/>
  <c r="N4" i="218"/>
  <c r="M4" i="218"/>
  <c r="L4" i="218"/>
  <c r="J4" i="218"/>
  <c r="I4" i="218"/>
  <c r="F4" i="218"/>
  <c r="N3" i="218"/>
  <c r="M3" i="218"/>
  <c r="I3" i="218"/>
  <c r="F3" i="218"/>
  <c r="N46" i="221"/>
  <c r="M46" i="221"/>
  <c r="H46" i="221"/>
  <c r="F46" i="221"/>
  <c r="E46" i="221"/>
  <c r="N45" i="221"/>
  <c r="M45" i="221"/>
  <c r="H45" i="221"/>
  <c r="N44" i="221"/>
  <c r="M44" i="221"/>
  <c r="I44" i="221"/>
  <c r="H44" i="221"/>
  <c r="N43" i="221"/>
  <c r="M43" i="221"/>
  <c r="H43" i="221"/>
  <c r="F43" i="221"/>
  <c r="E43" i="221"/>
  <c r="N42" i="221"/>
  <c r="M42" i="221"/>
  <c r="H42" i="221"/>
  <c r="F42" i="221"/>
  <c r="E42" i="221"/>
  <c r="N41" i="221"/>
  <c r="M41" i="221"/>
  <c r="H41" i="221"/>
  <c r="F41" i="221"/>
  <c r="E41" i="221"/>
  <c r="N40" i="221"/>
  <c r="M40" i="221"/>
  <c r="H40" i="221"/>
  <c r="F40" i="221"/>
  <c r="E40" i="221"/>
  <c r="N39" i="221"/>
  <c r="M39" i="221"/>
  <c r="H39" i="221"/>
  <c r="F39" i="221"/>
  <c r="E39" i="221"/>
  <c r="N38" i="221"/>
  <c r="M38" i="221"/>
  <c r="H38" i="221"/>
  <c r="F38" i="221"/>
  <c r="E38" i="221"/>
  <c r="N37" i="221"/>
  <c r="M37" i="221"/>
  <c r="H37" i="221"/>
  <c r="E37" i="221"/>
  <c r="N36" i="221"/>
  <c r="M36" i="221"/>
  <c r="H36" i="221"/>
  <c r="F36" i="221"/>
  <c r="E36" i="221"/>
  <c r="N35" i="221"/>
  <c r="M35" i="221"/>
  <c r="H35" i="221"/>
  <c r="F35" i="221"/>
  <c r="E35" i="221"/>
  <c r="N34" i="221"/>
  <c r="M34" i="221"/>
  <c r="H34" i="221"/>
  <c r="F34" i="221"/>
  <c r="E34" i="221"/>
  <c r="N33" i="221"/>
  <c r="M33" i="221"/>
  <c r="H33" i="221"/>
  <c r="F33" i="221"/>
  <c r="E33" i="221"/>
  <c r="N32" i="221"/>
  <c r="M32" i="221"/>
  <c r="H32" i="221"/>
  <c r="F32" i="221"/>
  <c r="E32" i="221"/>
  <c r="N31" i="221"/>
  <c r="M31" i="221"/>
  <c r="H31" i="221"/>
  <c r="F31" i="221"/>
  <c r="E31" i="221"/>
  <c r="N30" i="221"/>
  <c r="M30" i="221"/>
  <c r="H30" i="221"/>
  <c r="F30" i="221"/>
  <c r="E30" i="221"/>
  <c r="N29" i="221"/>
  <c r="M29" i="221"/>
  <c r="L29" i="221"/>
  <c r="H29" i="221"/>
  <c r="F29" i="221"/>
  <c r="E29" i="221"/>
  <c r="N28" i="221"/>
  <c r="M28" i="221"/>
  <c r="H28" i="221"/>
  <c r="E28" i="221"/>
  <c r="N27" i="221"/>
  <c r="M27" i="221"/>
  <c r="H27" i="221"/>
  <c r="N26" i="221"/>
  <c r="M26" i="221"/>
  <c r="L26" i="221"/>
  <c r="H26" i="221"/>
  <c r="F26" i="221"/>
  <c r="E26" i="221"/>
  <c r="N25" i="221"/>
  <c r="M25" i="221"/>
  <c r="H25" i="221"/>
  <c r="E25" i="221"/>
  <c r="N24" i="221"/>
  <c r="M24" i="221"/>
  <c r="H24" i="221"/>
  <c r="E24" i="221"/>
  <c r="N23" i="221"/>
  <c r="M23" i="221"/>
  <c r="H23" i="221"/>
  <c r="E23" i="221"/>
  <c r="N22" i="221"/>
  <c r="M22" i="221"/>
  <c r="H22" i="221"/>
  <c r="E22" i="221"/>
  <c r="N21" i="221"/>
  <c r="M21" i="221"/>
  <c r="H21" i="221"/>
  <c r="F21" i="221"/>
  <c r="E21" i="221"/>
  <c r="N20" i="221"/>
  <c r="M20" i="221"/>
  <c r="H20" i="221"/>
  <c r="F20" i="221"/>
  <c r="E20" i="221"/>
  <c r="N19" i="221"/>
  <c r="M19" i="221"/>
  <c r="H19" i="221"/>
  <c r="N18" i="221"/>
  <c r="M18" i="221"/>
  <c r="H18" i="221"/>
  <c r="F18" i="221"/>
  <c r="E18" i="221"/>
  <c r="N17" i="221"/>
  <c r="M17" i="221"/>
  <c r="H17" i="221"/>
  <c r="N16" i="221"/>
  <c r="M16" i="221"/>
  <c r="H16" i="221"/>
  <c r="F16" i="221"/>
  <c r="E16" i="221"/>
  <c r="N15" i="221"/>
  <c r="M15" i="221"/>
  <c r="H15" i="221"/>
  <c r="F15" i="221"/>
  <c r="E15" i="221"/>
  <c r="N14" i="221"/>
  <c r="M14" i="221"/>
  <c r="H14" i="221"/>
  <c r="F14" i="221"/>
  <c r="E14" i="221"/>
  <c r="N13" i="221"/>
  <c r="M13" i="221"/>
  <c r="H13" i="221"/>
  <c r="F13" i="221"/>
  <c r="E13" i="221"/>
  <c r="N12" i="221"/>
  <c r="M12" i="221"/>
  <c r="H12" i="221"/>
  <c r="F12" i="221"/>
  <c r="E12" i="221"/>
  <c r="N11" i="221"/>
  <c r="M11" i="221"/>
  <c r="H11" i="221"/>
  <c r="N10" i="221"/>
  <c r="M10" i="221"/>
  <c r="H10" i="221"/>
  <c r="N9" i="221"/>
  <c r="M9" i="221"/>
  <c r="H9" i="221"/>
  <c r="N8" i="221"/>
  <c r="M8" i="221"/>
  <c r="H8" i="221"/>
  <c r="AB188" i="224"/>
  <c r="AA188" i="224"/>
  <c r="Z188" i="224"/>
  <c r="X188" i="224"/>
  <c r="AB187" i="224"/>
  <c r="Z187" i="224"/>
  <c r="X187" i="224"/>
  <c r="V187" i="224"/>
  <c r="T187" i="224"/>
  <c r="S187" i="224"/>
  <c r="R187" i="224"/>
  <c r="Q187" i="224"/>
  <c r="P187" i="224"/>
  <c r="O187" i="224"/>
  <c r="N187" i="224"/>
  <c r="M187" i="224"/>
  <c r="L187" i="224"/>
  <c r="I187" i="224"/>
  <c r="E187" i="224"/>
  <c r="AB186" i="224"/>
  <c r="Z186" i="224"/>
  <c r="X186" i="224"/>
  <c r="V186" i="224"/>
  <c r="T186" i="224"/>
  <c r="S186" i="224"/>
  <c r="R186" i="224"/>
  <c r="Q186" i="224"/>
  <c r="P186" i="224"/>
  <c r="O186" i="224"/>
  <c r="N186" i="224"/>
  <c r="M186" i="224"/>
  <c r="L186" i="224"/>
  <c r="I186" i="224"/>
  <c r="E186" i="224"/>
  <c r="AB185" i="224"/>
  <c r="Z185" i="224"/>
  <c r="X185" i="224"/>
  <c r="V185" i="224"/>
  <c r="T185" i="224"/>
  <c r="S185" i="224"/>
  <c r="R185" i="224"/>
  <c r="Q185" i="224"/>
  <c r="P185" i="224"/>
  <c r="O185" i="224"/>
  <c r="N185" i="224"/>
  <c r="M185" i="224"/>
  <c r="L185" i="224"/>
  <c r="I185" i="224"/>
  <c r="E185" i="224"/>
  <c r="AB184" i="224"/>
  <c r="Z184" i="224"/>
  <c r="X184" i="224"/>
  <c r="V184" i="224"/>
  <c r="T184" i="224"/>
  <c r="S184" i="224"/>
  <c r="R184" i="224"/>
  <c r="Q184" i="224"/>
  <c r="P184" i="224"/>
  <c r="O184" i="224"/>
  <c r="N184" i="224"/>
  <c r="M184" i="224"/>
  <c r="L184" i="224"/>
  <c r="I184" i="224"/>
  <c r="E184" i="224"/>
  <c r="AB183" i="224"/>
  <c r="Z183" i="224"/>
  <c r="X183" i="224"/>
  <c r="V183" i="224"/>
  <c r="T183" i="224"/>
  <c r="S183" i="224"/>
  <c r="R183" i="224"/>
  <c r="Q183" i="224"/>
  <c r="P183" i="224"/>
  <c r="O183" i="224"/>
  <c r="N183" i="224"/>
  <c r="M183" i="224"/>
  <c r="L183" i="224"/>
  <c r="I183" i="224"/>
  <c r="E183" i="224"/>
  <c r="AB182" i="224"/>
  <c r="Z182" i="224"/>
  <c r="X182" i="224"/>
  <c r="V182" i="224"/>
  <c r="T182" i="224"/>
  <c r="S182" i="224"/>
  <c r="R182" i="224"/>
  <c r="Q182" i="224"/>
  <c r="P182" i="224"/>
  <c r="O182" i="224"/>
  <c r="N182" i="224"/>
  <c r="M182" i="224"/>
  <c r="L182" i="224"/>
  <c r="I182" i="224"/>
  <c r="E182" i="224"/>
  <c r="AB181" i="224"/>
  <c r="Z181" i="224"/>
  <c r="X181" i="224"/>
  <c r="V181" i="224"/>
  <c r="T181" i="224"/>
  <c r="S181" i="224"/>
  <c r="R181" i="224"/>
  <c r="Q181" i="224"/>
  <c r="P181" i="224"/>
  <c r="O181" i="224"/>
  <c r="N181" i="224"/>
  <c r="M181" i="224"/>
  <c r="L181" i="224"/>
  <c r="I181" i="224"/>
  <c r="E181" i="224"/>
  <c r="AB180" i="224"/>
  <c r="Z180" i="224"/>
  <c r="X180" i="224"/>
  <c r="V180" i="224"/>
  <c r="T180" i="224"/>
  <c r="S180" i="224"/>
  <c r="R180" i="224"/>
  <c r="Q180" i="224"/>
  <c r="P180" i="224"/>
  <c r="O180" i="224"/>
  <c r="N180" i="224"/>
  <c r="M180" i="224"/>
  <c r="L180" i="224"/>
  <c r="I180" i="224"/>
  <c r="E180" i="224"/>
  <c r="AB179" i="224"/>
  <c r="Z179" i="224"/>
  <c r="X179" i="224"/>
  <c r="V179" i="224"/>
  <c r="T179" i="224"/>
  <c r="S179" i="224"/>
  <c r="R179" i="224"/>
  <c r="Q179" i="224"/>
  <c r="P179" i="224"/>
  <c r="O179" i="224"/>
  <c r="N179" i="224"/>
  <c r="M179" i="224"/>
  <c r="L179" i="224"/>
  <c r="I179" i="224"/>
  <c r="E179" i="224"/>
  <c r="Z178" i="224"/>
  <c r="X178" i="224"/>
  <c r="V178" i="224"/>
  <c r="T178" i="224"/>
  <c r="S178" i="224"/>
  <c r="R178" i="224"/>
  <c r="Q178" i="224"/>
  <c r="P178" i="224"/>
  <c r="O178" i="224"/>
  <c r="N178" i="224"/>
  <c r="AB177" i="224"/>
  <c r="Z177" i="224"/>
  <c r="X177" i="224"/>
  <c r="V177" i="224"/>
  <c r="T177" i="224"/>
  <c r="S177" i="224"/>
  <c r="R177" i="224"/>
  <c r="Q177" i="224"/>
  <c r="P177" i="224"/>
  <c r="O177" i="224"/>
  <c r="N177" i="224"/>
  <c r="M177" i="224"/>
  <c r="L177" i="224"/>
  <c r="I177" i="224"/>
  <c r="E177" i="224"/>
  <c r="AB176" i="224"/>
  <c r="Z176" i="224"/>
  <c r="X176" i="224"/>
  <c r="V176" i="224"/>
  <c r="U176" i="224"/>
  <c r="T176" i="224"/>
  <c r="S176" i="224"/>
  <c r="R176" i="224"/>
  <c r="Q176" i="224"/>
  <c r="P176" i="224"/>
  <c r="O176" i="224"/>
  <c r="N176" i="224"/>
  <c r="M176" i="224"/>
  <c r="L176" i="224"/>
  <c r="I176" i="224"/>
  <c r="E176" i="224"/>
  <c r="AB175" i="224"/>
  <c r="Z175" i="224"/>
  <c r="X175" i="224"/>
  <c r="V175" i="224"/>
  <c r="T175" i="224"/>
  <c r="S175" i="224"/>
  <c r="R175" i="224"/>
  <c r="Q175" i="224"/>
  <c r="P175" i="224"/>
  <c r="O175" i="224"/>
  <c r="N175" i="224"/>
  <c r="M175" i="224"/>
  <c r="L175" i="224"/>
  <c r="I175" i="224"/>
  <c r="E175" i="224"/>
  <c r="AB174" i="224"/>
  <c r="Z174" i="224"/>
  <c r="X174" i="224"/>
  <c r="V174" i="224"/>
  <c r="T174" i="224"/>
  <c r="S174" i="224"/>
  <c r="R174" i="224"/>
  <c r="Q174" i="224"/>
  <c r="P174" i="224"/>
  <c r="O174" i="224"/>
  <c r="N174" i="224"/>
  <c r="M174" i="224"/>
  <c r="L174" i="224"/>
  <c r="I174" i="224"/>
  <c r="E174" i="224"/>
  <c r="AB173" i="224"/>
  <c r="Z173" i="224"/>
  <c r="X173" i="224"/>
  <c r="V173" i="224"/>
  <c r="T173" i="224"/>
  <c r="S173" i="224"/>
  <c r="R173" i="224"/>
  <c r="Q173" i="224"/>
  <c r="P173" i="224"/>
  <c r="O173" i="224"/>
  <c r="N173" i="224"/>
  <c r="M173" i="224"/>
  <c r="L173" i="224"/>
  <c r="I173" i="224"/>
  <c r="E173" i="224"/>
  <c r="AB172" i="224"/>
  <c r="Z172" i="224"/>
  <c r="X172" i="224"/>
  <c r="V172" i="224"/>
  <c r="T172" i="224"/>
  <c r="S172" i="224"/>
  <c r="R172" i="224"/>
  <c r="Q172" i="224"/>
  <c r="P172" i="224"/>
  <c r="O172" i="224"/>
  <c r="N172" i="224"/>
  <c r="M172" i="224"/>
  <c r="L172" i="224"/>
  <c r="I172" i="224"/>
  <c r="E172" i="224"/>
  <c r="AB171" i="224"/>
  <c r="Z171" i="224"/>
  <c r="X171" i="224"/>
  <c r="V171" i="224"/>
  <c r="T171" i="224"/>
  <c r="S171" i="224"/>
  <c r="R171" i="224"/>
  <c r="Q171" i="224"/>
  <c r="P171" i="224"/>
  <c r="O171" i="224"/>
  <c r="N171" i="224"/>
  <c r="M171" i="224"/>
  <c r="L171" i="224"/>
  <c r="I171" i="224"/>
  <c r="E171" i="224"/>
  <c r="AB170" i="224"/>
  <c r="Z170" i="224"/>
  <c r="X170" i="224"/>
  <c r="V170" i="224"/>
  <c r="T170" i="224"/>
  <c r="S170" i="224"/>
  <c r="R170" i="224"/>
  <c r="Q170" i="224"/>
  <c r="P170" i="224"/>
  <c r="O170" i="224"/>
  <c r="N170" i="224"/>
  <c r="M170" i="224"/>
  <c r="L170" i="224"/>
  <c r="I170" i="224"/>
  <c r="E170" i="224"/>
  <c r="AB169" i="224"/>
  <c r="Z169" i="224"/>
  <c r="X169" i="224"/>
  <c r="V169" i="224"/>
  <c r="T169" i="224"/>
  <c r="S169" i="224"/>
  <c r="R169" i="224"/>
  <c r="Q169" i="224"/>
  <c r="P169" i="224"/>
  <c r="O169" i="224"/>
  <c r="N169" i="224"/>
  <c r="M169" i="224"/>
  <c r="L169" i="224"/>
  <c r="I169" i="224"/>
  <c r="E169" i="224"/>
  <c r="AB168" i="224"/>
  <c r="Z168" i="224"/>
  <c r="X168" i="224"/>
  <c r="V168" i="224"/>
  <c r="T168" i="224"/>
  <c r="S168" i="224"/>
  <c r="R168" i="224"/>
  <c r="Q168" i="224"/>
  <c r="P168" i="224"/>
  <c r="O168" i="224"/>
  <c r="N168" i="224"/>
  <c r="M168" i="224"/>
  <c r="L168" i="224"/>
  <c r="I168" i="224"/>
  <c r="E168" i="224"/>
  <c r="AB167" i="224"/>
  <c r="Z167" i="224"/>
  <c r="X167" i="224"/>
  <c r="V167" i="224"/>
  <c r="T167" i="224"/>
  <c r="S167" i="224"/>
  <c r="R167" i="224"/>
  <c r="Q167" i="224"/>
  <c r="P167" i="224"/>
  <c r="O167" i="224"/>
  <c r="N167" i="224"/>
  <c r="M167" i="224"/>
  <c r="L167" i="224"/>
  <c r="I167" i="224"/>
  <c r="E167" i="224"/>
  <c r="AB166" i="224"/>
  <c r="Z166" i="224"/>
  <c r="X166" i="224"/>
  <c r="V166" i="224"/>
  <c r="T166" i="224"/>
  <c r="S166" i="224"/>
  <c r="R166" i="224"/>
  <c r="Q166" i="224"/>
  <c r="P166" i="224"/>
  <c r="O166" i="224"/>
  <c r="N166" i="224"/>
  <c r="M166" i="224"/>
  <c r="L166" i="224"/>
  <c r="I166" i="224"/>
  <c r="E166" i="224"/>
  <c r="AB165" i="224"/>
  <c r="Z165" i="224"/>
  <c r="X165" i="224"/>
  <c r="V165" i="224"/>
  <c r="T165" i="224"/>
  <c r="S165" i="224"/>
  <c r="R165" i="224"/>
  <c r="Q165" i="224"/>
  <c r="P165" i="224"/>
  <c r="O165" i="224"/>
  <c r="N165" i="224"/>
  <c r="M165" i="224"/>
  <c r="L165" i="224"/>
  <c r="I165" i="224"/>
  <c r="E165" i="224"/>
  <c r="AB164" i="224"/>
  <c r="Z164" i="224"/>
  <c r="X164" i="224"/>
  <c r="V164" i="224"/>
  <c r="T164" i="224"/>
  <c r="S164" i="224"/>
  <c r="R164" i="224"/>
  <c r="Q164" i="224"/>
  <c r="P164" i="224"/>
  <c r="O164" i="224"/>
  <c r="N164" i="224"/>
  <c r="M164" i="224"/>
  <c r="L164" i="224"/>
  <c r="I164" i="224"/>
  <c r="E164" i="224"/>
  <c r="AB163" i="224"/>
  <c r="Z163" i="224"/>
  <c r="X163" i="224"/>
  <c r="V163" i="224"/>
  <c r="T163" i="224"/>
  <c r="S163" i="224"/>
  <c r="R163" i="224"/>
  <c r="Q163" i="224"/>
  <c r="P163" i="224"/>
  <c r="O163" i="224"/>
  <c r="N163" i="224"/>
  <c r="M163" i="224"/>
  <c r="L163" i="224"/>
  <c r="I163" i="224"/>
  <c r="E163" i="224"/>
  <c r="AB162" i="224"/>
  <c r="Z162" i="224"/>
  <c r="X162" i="224"/>
  <c r="V162" i="224"/>
  <c r="T162" i="224"/>
  <c r="S162" i="224"/>
  <c r="R162" i="224"/>
  <c r="Q162" i="224"/>
  <c r="P162" i="224"/>
  <c r="O162" i="224"/>
  <c r="N162" i="224"/>
  <c r="M162" i="224"/>
  <c r="L162" i="224"/>
  <c r="I162" i="224"/>
  <c r="E162" i="224"/>
  <c r="AB161" i="224"/>
  <c r="Z161" i="224"/>
  <c r="X161" i="224"/>
  <c r="V161" i="224"/>
  <c r="T161" i="224"/>
  <c r="S161" i="224"/>
  <c r="R161" i="224"/>
  <c r="Q161" i="224"/>
  <c r="P161" i="224"/>
  <c r="O161" i="224"/>
  <c r="N161" i="224"/>
  <c r="M161" i="224"/>
  <c r="L161" i="224"/>
  <c r="I161" i="224"/>
  <c r="E161" i="224"/>
  <c r="AB160" i="224"/>
  <c r="Z160" i="224"/>
  <c r="X160" i="224"/>
  <c r="V160" i="224"/>
  <c r="T160" i="224"/>
  <c r="S160" i="224"/>
  <c r="R160" i="224"/>
  <c r="Q160" i="224"/>
  <c r="P160" i="224"/>
  <c r="O160" i="224"/>
  <c r="N160" i="224"/>
  <c r="M160" i="224"/>
  <c r="L160" i="224"/>
  <c r="I160" i="224"/>
  <c r="E160" i="224"/>
  <c r="AB159" i="224"/>
  <c r="Z159" i="224"/>
  <c r="X159" i="224"/>
  <c r="V159" i="224"/>
  <c r="T159" i="224"/>
  <c r="S159" i="224"/>
  <c r="R159" i="224"/>
  <c r="Q159" i="224"/>
  <c r="P159" i="224"/>
  <c r="O159" i="224"/>
  <c r="N159" i="224"/>
  <c r="M159" i="224"/>
  <c r="L159" i="224"/>
  <c r="I159" i="224"/>
  <c r="E159" i="224"/>
  <c r="AB158" i="224"/>
  <c r="Z158" i="224"/>
  <c r="X158" i="224"/>
  <c r="V158" i="224"/>
  <c r="T158" i="224"/>
  <c r="S158" i="224"/>
  <c r="R158" i="224"/>
  <c r="Q158" i="224"/>
  <c r="P158" i="224"/>
  <c r="O158" i="224"/>
  <c r="N158" i="224"/>
  <c r="M158" i="224"/>
  <c r="L158" i="224"/>
  <c r="I158" i="224"/>
  <c r="E158" i="224"/>
  <c r="AB157" i="224"/>
  <c r="Z157" i="224"/>
  <c r="X157" i="224"/>
  <c r="V157" i="224"/>
  <c r="T157" i="224"/>
  <c r="S157" i="224"/>
  <c r="R157" i="224"/>
  <c r="Q157" i="224"/>
  <c r="P157" i="224"/>
  <c r="O157" i="224"/>
  <c r="N157" i="224"/>
  <c r="M157" i="224"/>
  <c r="L157" i="224"/>
  <c r="I157" i="224"/>
  <c r="E157" i="224"/>
  <c r="AB156" i="224"/>
  <c r="Z156" i="224"/>
  <c r="X156" i="224"/>
  <c r="V156" i="224"/>
  <c r="T156" i="224"/>
  <c r="S156" i="224"/>
  <c r="R156" i="224"/>
  <c r="Q156" i="224"/>
  <c r="P156" i="224"/>
  <c r="O156" i="224"/>
  <c r="N156" i="224"/>
  <c r="M156" i="224"/>
  <c r="L156" i="224"/>
  <c r="I156" i="224"/>
  <c r="E156" i="224"/>
  <c r="AB155" i="224"/>
  <c r="Z155" i="224"/>
  <c r="X155" i="224"/>
  <c r="V155" i="224"/>
  <c r="T155" i="224"/>
  <c r="S155" i="224"/>
  <c r="R155" i="224"/>
  <c r="Q155" i="224"/>
  <c r="P155" i="224"/>
  <c r="O155" i="224"/>
  <c r="N155" i="224"/>
  <c r="M155" i="224"/>
  <c r="L155" i="224"/>
  <c r="I155" i="224"/>
  <c r="E155" i="224"/>
  <c r="AB154" i="224"/>
  <c r="Z154" i="224"/>
  <c r="X154" i="224"/>
  <c r="V154" i="224"/>
  <c r="T154" i="224"/>
  <c r="S154" i="224"/>
  <c r="R154" i="224"/>
  <c r="Q154" i="224"/>
  <c r="P154" i="224"/>
  <c r="O154" i="224"/>
  <c r="N154" i="224"/>
  <c r="M154" i="224"/>
  <c r="L154" i="224"/>
  <c r="I154" i="224"/>
  <c r="E154" i="224"/>
  <c r="AB153" i="224"/>
  <c r="Z153" i="224"/>
  <c r="X153" i="224"/>
  <c r="V153" i="224"/>
  <c r="T153" i="224"/>
  <c r="S153" i="224"/>
  <c r="R153" i="224"/>
  <c r="Q153" i="224"/>
  <c r="P153" i="224"/>
  <c r="O153" i="224"/>
  <c r="N153" i="224"/>
  <c r="M153" i="224"/>
  <c r="L153" i="224"/>
  <c r="I153" i="224"/>
  <c r="E153" i="224"/>
  <c r="AB152" i="224"/>
  <c r="Z152" i="224"/>
  <c r="X152" i="224"/>
  <c r="V152" i="224"/>
  <c r="T152" i="224"/>
  <c r="S152" i="224"/>
  <c r="R152" i="224"/>
  <c r="Q152" i="224"/>
  <c r="P152" i="224"/>
  <c r="O152" i="224"/>
  <c r="N152" i="224"/>
  <c r="M152" i="224"/>
  <c r="L152" i="224"/>
  <c r="I152" i="224"/>
  <c r="E152" i="224"/>
  <c r="AB151" i="224"/>
  <c r="Z151" i="224"/>
  <c r="X151" i="224"/>
  <c r="V151" i="224"/>
  <c r="T151" i="224"/>
  <c r="S151" i="224"/>
  <c r="R151" i="224"/>
  <c r="Q151" i="224"/>
  <c r="P151" i="224"/>
  <c r="O151" i="224"/>
  <c r="N151" i="224"/>
  <c r="M151" i="224"/>
  <c r="L151" i="224"/>
  <c r="I151" i="224"/>
  <c r="E151" i="224"/>
  <c r="AB150" i="224"/>
  <c r="Z150" i="224"/>
  <c r="X150" i="224"/>
  <c r="V150" i="224"/>
  <c r="T150" i="224"/>
  <c r="S150" i="224"/>
  <c r="R150" i="224"/>
  <c r="Q150" i="224"/>
  <c r="P150" i="224"/>
  <c r="O150" i="224"/>
  <c r="N150" i="224"/>
  <c r="M150" i="224"/>
  <c r="L150" i="224"/>
  <c r="I150" i="224"/>
  <c r="E150" i="224"/>
  <c r="AB149" i="224"/>
  <c r="Z149" i="224"/>
  <c r="X149" i="224"/>
  <c r="V149" i="224"/>
  <c r="T149" i="224"/>
  <c r="S149" i="224"/>
  <c r="R149" i="224"/>
  <c r="Q149" i="224"/>
  <c r="P149" i="224"/>
  <c r="O149" i="224"/>
  <c r="N149" i="224"/>
  <c r="M149" i="224"/>
  <c r="L149" i="224"/>
  <c r="I149" i="224"/>
  <c r="E149" i="224"/>
  <c r="AB148" i="224"/>
  <c r="Z148" i="224"/>
  <c r="X148" i="224"/>
  <c r="V148" i="224"/>
  <c r="U148" i="224"/>
  <c r="T148" i="224"/>
  <c r="S148" i="224"/>
  <c r="R148" i="224"/>
  <c r="Q148" i="224"/>
  <c r="P148" i="224"/>
  <c r="O148" i="224"/>
  <c r="N148" i="224"/>
  <c r="M148" i="224"/>
  <c r="L148" i="224"/>
  <c r="I148" i="224"/>
  <c r="E148" i="224"/>
  <c r="AB147" i="224"/>
  <c r="Z147" i="224"/>
  <c r="X147" i="224"/>
  <c r="V147" i="224"/>
  <c r="U147" i="224"/>
  <c r="T147" i="224"/>
  <c r="S147" i="224"/>
  <c r="R147" i="224"/>
  <c r="Q147" i="224"/>
  <c r="P147" i="224"/>
  <c r="O147" i="224"/>
  <c r="N147" i="224"/>
  <c r="M147" i="224"/>
  <c r="L147" i="224"/>
  <c r="I147" i="224"/>
  <c r="E147" i="224"/>
  <c r="AB146" i="224"/>
  <c r="Z146" i="224"/>
  <c r="X146" i="224"/>
  <c r="V146" i="224"/>
  <c r="U146" i="224"/>
  <c r="T146" i="224"/>
  <c r="S146" i="224"/>
  <c r="R146" i="224"/>
  <c r="Q146" i="224"/>
  <c r="P146" i="224"/>
  <c r="O146" i="224"/>
  <c r="N146" i="224"/>
  <c r="M146" i="224"/>
  <c r="L146" i="224"/>
  <c r="I146" i="224"/>
  <c r="E146" i="224"/>
  <c r="AB145" i="224"/>
  <c r="Z145" i="224"/>
  <c r="X145" i="224"/>
  <c r="V145" i="224"/>
  <c r="U145" i="224"/>
  <c r="T145" i="224"/>
  <c r="S145" i="224"/>
  <c r="R145" i="224"/>
  <c r="Q145" i="224"/>
  <c r="P145" i="224"/>
  <c r="O145" i="224"/>
  <c r="N145" i="224"/>
  <c r="M145" i="224"/>
  <c r="L145" i="224"/>
  <c r="I145" i="224"/>
  <c r="E145" i="224"/>
  <c r="AB144" i="224"/>
  <c r="Z144" i="224"/>
  <c r="X144" i="224"/>
  <c r="V144" i="224"/>
  <c r="U144" i="224"/>
  <c r="T144" i="224"/>
  <c r="S144" i="224"/>
  <c r="R144" i="224"/>
  <c r="Q144" i="224"/>
  <c r="P144" i="224"/>
  <c r="O144" i="224"/>
  <c r="N144" i="224"/>
  <c r="M144" i="224"/>
  <c r="L144" i="224"/>
  <c r="I144" i="224"/>
  <c r="E144" i="224"/>
  <c r="AB143" i="224"/>
  <c r="Z143" i="224"/>
  <c r="X143" i="224"/>
  <c r="V143" i="224"/>
  <c r="U143" i="224"/>
  <c r="T143" i="224"/>
  <c r="S143" i="224"/>
  <c r="R143" i="224"/>
  <c r="Q143" i="224"/>
  <c r="P143" i="224"/>
  <c r="O143" i="224"/>
  <c r="N143" i="224"/>
  <c r="M143" i="224"/>
  <c r="L143" i="224"/>
  <c r="I143" i="224"/>
  <c r="E143" i="224"/>
  <c r="AB142" i="224"/>
  <c r="Z142" i="224"/>
  <c r="X142" i="224"/>
  <c r="V142" i="224"/>
  <c r="U142" i="224"/>
  <c r="T142" i="224"/>
  <c r="S142" i="224"/>
  <c r="R142" i="224"/>
  <c r="Q142" i="224"/>
  <c r="P142" i="224"/>
  <c r="O142" i="224"/>
  <c r="N142" i="224"/>
  <c r="M142" i="224"/>
  <c r="L142" i="224"/>
  <c r="I142" i="224"/>
  <c r="E142" i="224"/>
  <c r="AB141" i="224"/>
  <c r="Z141" i="224"/>
  <c r="X141" i="224"/>
  <c r="V141" i="224"/>
  <c r="U141" i="224"/>
  <c r="T141" i="224"/>
  <c r="S141" i="224"/>
  <c r="R141" i="224"/>
  <c r="Q141" i="224"/>
  <c r="P141" i="224"/>
  <c r="O141" i="224"/>
  <c r="N141" i="224"/>
  <c r="M141" i="224"/>
  <c r="L141" i="224"/>
  <c r="I141" i="224"/>
  <c r="E141" i="224"/>
  <c r="AB140" i="224"/>
  <c r="Z140" i="224"/>
  <c r="X140" i="224"/>
  <c r="V140" i="224"/>
  <c r="U140" i="224"/>
  <c r="T140" i="224"/>
  <c r="S140" i="224"/>
  <c r="R140" i="224"/>
  <c r="Q140" i="224"/>
  <c r="P140" i="224"/>
  <c r="O140" i="224"/>
  <c r="N140" i="224"/>
  <c r="M140" i="224"/>
  <c r="L140" i="224"/>
  <c r="I140" i="224"/>
  <c r="E140" i="224"/>
  <c r="AB139" i="224"/>
  <c r="Z139" i="224"/>
  <c r="X139" i="224"/>
  <c r="V139" i="224"/>
  <c r="U139" i="224"/>
  <c r="T139" i="224"/>
  <c r="S139" i="224"/>
  <c r="R139" i="224"/>
  <c r="Q139" i="224"/>
  <c r="P139" i="224"/>
  <c r="O139" i="224"/>
  <c r="N139" i="224"/>
  <c r="M139" i="224"/>
  <c r="L139" i="224"/>
  <c r="I139" i="224"/>
  <c r="E139" i="224"/>
  <c r="AB138" i="224"/>
  <c r="Z138" i="224"/>
  <c r="X138" i="224"/>
  <c r="V138" i="224"/>
  <c r="U138" i="224"/>
  <c r="T138" i="224"/>
  <c r="S138" i="224"/>
  <c r="R138" i="224"/>
  <c r="Q138" i="224"/>
  <c r="P138" i="224"/>
  <c r="O138" i="224"/>
  <c r="N138" i="224"/>
  <c r="M138" i="224"/>
  <c r="L138" i="224"/>
  <c r="I138" i="224"/>
  <c r="E138" i="224"/>
  <c r="AB137" i="224"/>
  <c r="Z137" i="224"/>
  <c r="X137" i="224"/>
  <c r="V137" i="224"/>
  <c r="U137" i="224"/>
  <c r="T137" i="224"/>
  <c r="S137" i="224"/>
  <c r="R137" i="224"/>
  <c r="Q137" i="224"/>
  <c r="P137" i="224"/>
  <c r="O137" i="224"/>
  <c r="N137" i="224"/>
  <c r="M137" i="224"/>
  <c r="L137" i="224"/>
  <c r="I137" i="224"/>
  <c r="E137" i="224"/>
  <c r="AB136" i="224"/>
  <c r="Z136" i="224"/>
  <c r="X136" i="224"/>
  <c r="V136" i="224"/>
  <c r="U136" i="224"/>
  <c r="T136" i="224"/>
  <c r="S136" i="224"/>
  <c r="R136" i="224"/>
  <c r="Q136" i="224"/>
  <c r="P136" i="224"/>
  <c r="O136" i="224"/>
  <c r="N136" i="224"/>
  <c r="M136" i="224"/>
  <c r="L136" i="224"/>
  <c r="I136" i="224"/>
  <c r="E136" i="224"/>
  <c r="AB135" i="224"/>
  <c r="Z135" i="224"/>
  <c r="X135" i="224"/>
  <c r="V135" i="224"/>
  <c r="U135" i="224"/>
  <c r="T135" i="224"/>
  <c r="S135" i="224"/>
  <c r="R135" i="224"/>
  <c r="Q135" i="224"/>
  <c r="P135" i="224"/>
  <c r="O135" i="224"/>
  <c r="N135" i="224"/>
  <c r="M135" i="224"/>
  <c r="L135" i="224"/>
  <c r="I135" i="224"/>
  <c r="E135" i="224"/>
  <c r="AB134" i="224"/>
  <c r="Z134" i="224"/>
  <c r="X134" i="224"/>
  <c r="V134" i="224"/>
  <c r="U134" i="224"/>
  <c r="T134" i="224"/>
  <c r="S134" i="224"/>
  <c r="R134" i="224"/>
  <c r="Q134" i="224"/>
  <c r="P134" i="224"/>
  <c r="O134" i="224"/>
  <c r="N134" i="224"/>
  <c r="M134" i="224"/>
  <c r="L134" i="224"/>
  <c r="I134" i="224"/>
  <c r="E134" i="224"/>
  <c r="AB133" i="224"/>
  <c r="Z133" i="224"/>
  <c r="X133" i="224"/>
  <c r="V133" i="224"/>
  <c r="U133" i="224"/>
  <c r="T133" i="224"/>
  <c r="S133" i="224"/>
  <c r="R133" i="224"/>
  <c r="Q133" i="224"/>
  <c r="P133" i="224"/>
  <c r="O133" i="224"/>
  <c r="N133" i="224"/>
  <c r="M133" i="224"/>
  <c r="L133" i="224"/>
  <c r="I133" i="224"/>
  <c r="E133" i="224"/>
  <c r="AB132" i="224"/>
  <c r="Z132" i="224"/>
  <c r="X132" i="224"/>
  <c r="V132" i="224"/>
  <c r="U132" i="224"/>
  <c r="T132" i="224"/>
  <c r="S132" i="224"/>
  <c r="R132" i="224"/>
  <c r="Q132" i="224"/>
  <c r="P132" i="224"/>
  <c r="O132" i="224"/>
  <c r="N132" i="224"/>
  <c r="M132" i="224"/>
  <c r="L132" i="224"/>
  <c r="I132" i="224"/>
  <c r="E132" i="224"/>
  <c r="AB131" i="224"/>
  <c r="Z131" i="224"/>
  <c r="X131" i="224"/>
  <c r="V131" i="224"/>
  <c r="U131" i="224"/>
  <c r="T131" i="224"/>
  <c r="S131" i="224"/>
  <c r="R131" i="224"/>
  <c r="Q131" i="224"/>
  <c r="P131" i="224"/>
  <c r="O131" i="224"/>
  <c r="N131" i="224"/>
  <c r="M131" i="224"/>
  <c r="L131" i="224"/>
  <c r="I131" i="224"/>
  <c r="E131" i="224"/>
  <c r="AB130" i="224"/>
  <c r="Z130" i="224"/>
  <c r="X130" i="224"/>
  <c r="V130" i="224"/>
  <c r="U130" i="224"/>
  <c r="T130" i="224"/>
  <c r="S130" i="224"/>
  <c r="R130" i="224"/>
  <c r="Q130" i="224"/>
  <c r="P130" i="224"/>
  <c r="O130" i="224"/>
  <c r="N130" i="224"/>
  <c r="M130" i="224"/>
  <c r="L130" i="224"/>
  <c r="I130" i="224"/>
  <c r="E130" i="224"/>
  <c r="AB129" i="224"/>
  <c r="Z129" i="224"/>
  <c r="X129" i="224"/>
  <c r="V129" i="224"/>
  <c r="U129" i="224"/>
  <c r="T129" i="224"/>
  <c r="S129" i="224"/>
  <c r="R129" i="224"/>
  <c r="Q129" i="224"/>
  <c r="P129" i="224"/>
  <c r="O129" i="224"/>
  <c r="N129" i="224"/>
  <c r="M129" i="224"/>
  <c r="L129" i="224"/>
  <c r="I129" i="224"/>
  <c r="E129" i="224"/>
  <c r="AB128" i="224"/>
  <c r="Z128" i="224"/>
  <c r="X128" i="224"/>
  <c r="V128" i="224"/>
  <c r="U128" i="224"/>
  <c r="T128" i="224"/>
  <c r="S128" i="224"/>
  <c r="R128" i="224"/>
  <c r="Q128" i="224"/>
  <c r="P128" i="224"/>
  <c r="O128" i="224"/>
  <c r="N128" i="224"/>
  <c r="M128" i="224"/>
  <c r="L128" i="224"/>
  <c r="I128" i="224"/>
  <c r="E128" i="224"/>
  <c r="AB124" i="224"/>
  <c r="Z124" i="224"/>
  <c r="X124" i="224"/>
  <c r="V124" i="224"/>
  <c r="T124" i="224"/>
  <c r="S124" i="224"/>
  <c r="R124" i="224"/>
  <c r="Q124" i="224"/>
  <c r="P124" i="224"/>
  <c r="O124" i="224"/>
  <c r="N124" i="224"/>
  <c r="M124" i="224"/>
  <c r="L124" i="224"/>
  <c r="I124" i="224"/>
  <c r="E124" i="224"/>
  <c r="AB123" i="224"/>
  <c r="Z123" i="224"/>
  <c r="X123" i="224"/>
  <c r="V123" i="224"/>
  <c r="T123" i="224"/>
  <c r="S123" i="224"/>
  <c r="R123" i="224"/>
  <c r="Q123" i="224"/>
  <c r="P123" i="224"/>
  <c r="O123" i="224"/>
  <c r="N123" i="224"/>
  <c r="M123" i="224"/>
  <c r="L123" i="224"/>
  <c r="I123" i="224"/>
  <c r="E123" i="224"/>
  <c r="AB122" i="224"/>
  <c r="Z122" i="224"/>
  <c r="X122" i="224"/>
  <c r="V122" i="224"/>
  <c r="T122" i="224"/>
  <c r="S122" i="224"/>
  <c r="R122" i="224"/>
  <c r="Q122" i="224"/>
  <c r="P122" i="224"/>
  <c r="O122" i="224"/>
  <c r="N122" i="224"/>
  <c r="M122" i="224"/>
  <c r="L122" i="224"/>
  <c r="I122" i="224"/>
  <c r="E122" i="224"/>
  <c r="AB121" i="224"/>
  <c r="Z121" i="224"/>
  <c r="X121" i="224"/>
  <c r="V121" i="224"/>
  <c r="U121" i="224"/>
  <c r="T121" i="224"/>
  <c r="S121" i="224"/>
  <c r="R121" i="224"/>
  <c r="Q121" i="224"/>
  <c r="P121" i="224"/>
  <c r="O121" i="224"/>
  <c r="N121" i="224"/>
  <c r="M121" i="224"/>
  <c r="L121" i="224"/>
  <c r="I121" i="224"/>
  <c r="E121" i="224"/>
  <c r="AB120" i="224"/>
  <c r="Z120" i="224"/>
  <c r="X120" i="224"/>
  <c r="V120" i="224"/>
  <c r="U120" i="224"/>
  <c r="T120" i="224"/>
  <c r="S120" i="224"/>
  <c r="R120" i="224"/>
  <c r="Q120" i="224"/>
  <c r="P120" i="224"/>
  <c r="O120" i="224"/>
  <c r="N120" i="224"/>
  <c r="M120" i="224"/>
  <c r="L120" i="224"/>
  <c r="I120" i="224"/>
  <c r="E120" i="224"/>
  <c r="AB119" i="224"/>
  <c r="Z119" i="224"/>
  <c r="X119" i="224"/>
  <c r="V119" i="224"/>
  <c r="U119" i="224"/>
  <c r="T119" i="224"/>
  <c r="S119" i="224"/>
  <c r="R119" i="224"/>
  <c r="Q119" i="224"/>
  <c r="P119" i="224"/>
  <c r="O119" i="224"/>
  <c r="N119" i="224"/>
  <c r="M119" i="224"/>
  <c r="L119" i="224"/>
  <c r="I119" i="224"/>
  <c r="E119" i="224"/>
  <c r="AB118" i="224"/>
  <c r="Z118" i="224"/>
  <c r="X118" i="224"/>
  <c r="V118" i="224"/>
  <c r="U118" i="224"/>
  <c r="T118" i="224"/>
  <c r="S118" i="224"/>
  <c r="R118" i="224"/>
  <c r="Q118" i="224"/>
  <c r="P118" i="224"/>
  <c r="O118" i="224"/>
  <c r="N118" i="224"/>
  <c r="M118" i="224"/>
  <c r="L118" i="224"/>
  <c r="I118" i="224"/>
  <c r="E118" i="224"/>
  <c r="AB117" i="224"/>
  <c r="Z117" i="224"/>
  <c r="X117" i="224"/>
  <c r="V117" i="224"/>
  <c r="U117" i="224"/>
  <c r="T117" i="224"/>
  <c r="S117" i="224"/>
  <c r="R117" i="224"/>
  <c r="Q117" i="224"/>
  <c r="P117" i="224"/>
  <c r="O117" i="224"/>
  <c r="N117" i="224"/>
  <c r="M117" i="224"/>
  <c r="L117" i="224"/>
  <c r="I117" i="224"/>
  <c r="E117" i="224"/>
  <c r="AB116" i="224"/>
  <c r="Z116" i="224"/>
  <c r="X116" i="224"/>
  <c r="V116" i="224"/>
  <c r="U116" i="224"/>
  <c r="T116" i="224"/>
  <c r="S116" i="224"/>
  <c r="R116" i="224"/>
  <c r="Q116" i="224"/>
  <c r="P116" i="224"/>
  <c r="O116" i="224"/>
  <c r="N116" i="224"/>
  <c r="M116" i="224"/>
  <c r="L116" i="224"/>
  <c r="I116" i="224"/>
  <c r="E116" i="224"/>
  <c r="AB115" i="224"/>
  <c r="Z115" i="224"/>
  <c r="X115" i="224"/>
  <c r="V115" i="224"/>
  <c r="U115" i="224"/>
  <c r="T115" i="224"/>
  <c r="S115" i="224"/>
  <c r="R115" i="224"/>
  <c r="Q115" i="224"/>
  <c r="P115" i="224"/>
  <c r="O115" i="224"/>
  <c r="N115" i="224"/>
  <c r="M115" i="224"/>
  <c r="L115" i="224"/>
  <c r="I115" i="224"/>
  <c r="E115" i="224"/>
  <c r="AB111" i="224"/>
  <c r="Z111" i="224"/>
  <c r="X111" i="224"/>
  <c r="V111" i="224"/>
  <c r="T111" i="224"/>
  <c r="S111" i="224"/>
  <c r="R111" i="224"/>
  <c r="Q111" i="224"/>
  <c r="P111" i="224"/>
  <c r="O111" i="224"/>
  <c r="N111" i="224"/>
  <c r="M111" i="224"/>
  <c r="L111" i="224"/>
  <c r="I111" i="224"/>
  <c r="E111" i="224"/>
  <c r="AB110" i="224"/>
  <c r="Z110" i="224"/>
  <c r="X110" i="224"/>
  <c r="V110" i="224"/>
  <c r="T110" i="224"/>
  <c r="S110" i="224"/>
  <c r="R110" i="224"/>
  <c r="Q110" i="224"/>
  <c r="P110" i="224"/>
  <c r="O110" i="224"/>
  <c r="N110" i="224"/>
  <c r="M110" i="224"/>
  <c r="L110" i="224"/>
  <c r="I110" i="224"/>
  <c r="E110" i="224"/>
  <c r="AB107" i="224"/>
  <c r="Z107" i="224"/>
  <c r="X107" i="224"/>
  <c r="V107" i="224"/>
  <c r="U107" i="224"/>
  <c r="T107" i="224"/>
  <c r="S107" i="224"/>
  <c r="R107" i="224"/>
  <c r="Q107" i="224"/>
  <c r="P107" i="224"/>
  <c r="O107" i="224"/>
  <c r="N107" i="224"/>
  <c r="M107" i="224"/>
  <c r="L107" i="224"/>
  <c r="I107" i="224"/>
  <c r="E107" i="224"/>
  <c r="AB106" i="224"/>
  <c r="Z106" i="224"/>
  <c r="X106" i="224"/>
  <c r="V106" i="224"/>
  <c r="U106" i="224"/>
  <c r="T106" i="224"/>
  <c r="S106" i="224"/>
  <c r="R106" i="224"/>
  <c r="Q106" i="224"/>
  <c r="P106" i="224"/>
  <c r="O106" i="224"/>
  <c r="N106" i="224"/>
  <c r="M106" i="224"/>
  <c r="L106" i="224"/>
  <c r="I106" i="224"/>
  <c r="E106" i="224"/>
  <c r="AB105" i="224"/>
  <c r="Z105" i="224"/>
  <c r="X105" i="224"/>
  <c r="V105" i="224"/>
  <c r="U105" i="224"/>
  <c r="T105" i="224"/>
  <c r="S105" i="224"/>
  <c r="R105" i="224"/>
  <c r="Q105" i="224"/>
  <c r="P105" i="224"/>
  <c r="O105" i="224"/>
  <c r="N105" i="224"/>
  <c r="M105" i="224"/>
  <c r="L105" i="224"/>
  <c r="I105" i="224"/>
  <c r="E105" i="224"/>
  <c r="AB102" i="224"/>
  <c r="Z102" i="224"/>
  <c r="X102" i="224"/>
  <c r="V102" i="224"/>
  <c r="U102" i="224"/>
  <c r="T102" i="224"/>
  <c r="S102" i="224"/>
  <c r="R102" i="224"/>
  <c r="Q102" i="224"/>
  <c r="P102" i="224"/>
  <c r="O102" i="224"/>
  <c r="N102" i="224"/>
  <c r="M102" i="224"/>
  <c r="L102" i="224"/>
  <c r="I102" i="224"/>
  <c r="E102" i="224"/>
  <c r="AB101" i="224"/>
  <c r="Z101" i="224"/>
  <c r="X101" i="224"/>
  <c r="V101" i="224"/>
  <c r="U101" i="224"/>
  <c r="T101" i="224"/>
  <c r="S101" i="224"/>
  <c r="R101" i="224"/>
  <c r="Q101" i="224"/>
  <c r="P101" i="224"/>
  <c r="O101" i="224"/>
  <c r="N101" i="224"/>
  <c r="M101" i="224"/>
  <c r="L101" i="224"/>
  <c r="I101" i="224"/>
  <c r="E101" i="224"/>
  <c r="AB100" i="224"/>
  <c r="Z100" i="224"/>
  <c r="X100" i="224"/>
  <c r="V100" i="224"/>
  <c r="U100" i="224"/>
  <c r="T100" i="224"/>
  <c r="S100" i="224"/>
  <c r="R100" i="224"/>
  <c r="Q100" i="224"/>
  <c r="P100" i="224"/>
  <c r="O100" i="224"/>
  <c r="N100" i="224"/>
  <c r="M100" i="224"/>
  <c r="L100" i="224"/>
  <c r="I100" i="224"/>
  <c r="E100" i="224"/>
  <c r="AB99" i="224"/>
  <c r="Z99" i="224"/>
  <c r="X99" i="224"/>
  <c r="V99" i="224"/>
  <c r="U99" i="224"/>
  <c r="T99" i="224"/>
  <c r="S99" i="224"/>
  <c r="R99" i="224"/>
  <c r="Q99" i="224"/>
  <c r="P99" i="224"/>
  <c r="O99" i="224"/>
  <c r="N99" i="224"/>
  <c r="M99" i="224"/>
  <c r="L99" i="224"/>
  <c r="I99" i="224"/>
  <c r="E99" i="224"/>
  <c r="AB98" i="224"/>
  <c r="Z98" i="224"/>
  <c r="X98" i="224"/>
  <c r="V98" i="224"/>
  <c r="U98" i="224"/>
  <c r="T98" i="224"/>
  <c r="S98" i="224"/>
  <c r="R98" i="224"/>
  <c r="Q98" i="224"/>
  <c r="P98" i="224"/>
  <c r="O98" i="224"/>
  <c r="N98" i="224"/>
  <c r="M98" i="224"/>
  <c r="L98" i="224"/>
  <c r="I98" i="224"/>
  <c r="E98" i="224"/>
  <c r="AB97" i="224"/>
  <c r="Z97" i="224"/>
  <c r="X97" i="224"/>
  <c r="V97" i="224"/>
  <c r="U97" i="224"/>
  <c r="T97" i="224"/>
  <c r="S97" i="224"/>
  <c r="R97" i="224"/>
  <c r="Q97" i="224"/>
  <c r="P97" i="224"/>
  <c r="O97" i="224"/>
  <c r="N97" i="224"/>
  <c r="M97" i="224"/>
  <c r="L97" i="224"/>
  <c r="I97" i="224"/>
  <c r="E97" i="224"/>
  <c r="AB96" i="224"/>
  <c r="Z96" i="224"/>
  <c r="X96" i="224"/>
  <c r="V96" i="224"/>
  <c r="U96" i="224"/>
  <c r="T96" i="224"/>
  <c r="S96" i="224"/>
  <c r="R96" i="224"/>
  <c r="Q96" i="224"/>
  <c r="P96" i="224"/>
  <c r="O96" i="224"/>
  <c r="N96" i="224"/>
  <c r="M96" i="224"/>
  <c r="L96" i="224"/>
  <c r="I96" i="224"/>
  <c r="E96" i="224"/>
  <c r="AB93" i="224"/>
  <c r="Z93" i="224"/>
  <c r="X93" i="224"/>
  <c r="V93" i="224"/>
  <c r="U93" i="224"/>
  <c r="T93" i="224"/>
  <c r="S93" i="224"/>
  <c r="R93" i="224"/>
  <c r="Q93" i="224"/>
  <c r="P93" i="224"/>
  <c r="O93" i="224"/>
  <c r="N93" i="224"/>
  <c r="M93" i="224"/>
  <c r="L93" i="224"/>
  <c r="I93" i="224"/>
  <c r="E93" i="224"/>
  <c r="AB92" i="224"/>
  <c r="Z92" i="224"/>
  <c r="X92" i="224"/>
  <c r="V92" i="224"/>
  <c r="U92" i="224"/>
  <c r="T92" i="224"/>
  <c r="S92" i="224"/>
  <c r="R92" i="224"/>
  <c r="Q92" i="224"/>
  <c r="P92" i="224"/>
  <c r="O92" i="224"/>
  <c r="N92" i="224"/>
  <c r="M92" i="224"/>
  <c r="L92" i="224"/>
  <c r="I92" i="224"/>
  <c r="E92" i="224"/>
  <c r="AB91" i="224"/>
  <c r="Z91" i="224"/>
  <c r="X91" i="224"/>
  <c r="V91" i="224"/>
  <c r="U91" i="224"/>
  <c r="T91" i="224"/>
  <c r="S91" i="224"/>
  <c r="R91" i="224"/>
  <c r="Q91" i="224"/>
  <c r="P91" i="224"/>
  <c r="O91" i="224"/>
  <c r="N91" i="224"/>
  <c r="M91" i="224"/>
  <c r="L91" i="224"/>
  <c r="I91" i="224"/>
  <c r="E91" i="224"/>
  <c r="AB90" i="224"/>
  <c r="Z90" i="224"/>
  <c r="X90" i="224"/>
  <c r="V90" i="224"/>
  <c r="U90" i="224"/>
  <c r="T90" i="224"/>
  <c r="S90" i="224"/>
  <c r="R90" i="224"/>
  <c r="Q90" i="224"/>
  <c r="P90" i="224"/>
  <c r="O90" i="224"/>
  <c r="N90" i="224"/>
  <c r="M90" i="224"/>
  <c r="L90" i="224"/>
  <c r="I90" i="224"/>
  <c r="E90" i="224"/>
  <c r="AB89" i="224"/>
  <c r="Z89" i="224"/>
  <c r="X89" i="224"/>
  <c r="V89" i="224"/>
  <c r="U89" i="224"/>
  <c r="T89" i="224"/>
  <c r="S89" i="224"/>
  <c r="R89" i="224"/>
  <c r="Q89" i="224"/>
  <c r="P89" i="224"/>
  <c r="O89" i="224"/>
  <c r="N89" i="224"/>
  <c r="M89" i="224"/>
  <c r="L89" i="224"/>
  <c r="I89" i="224"/>
  <c r="E89" i="224"/>
  <c r="AB85" i="224"/>
  <c r="Z85" i="224"/>
  <c r="X85" i="224"/>
  <c r="V85" i="224"/>
  <c r="U85" i="224"/>
  <c r="T85" i="224"/>
  <c r="S85" i="224"/>
  <c r="R85" i="224"/>
  <c r="Q85" i="224"/>
  <c r="P85" i="224"/>
  <c r="O85" i="224"/>
  <c r="N85" i="224"/>
  <c r="M85" i="224"/>
  <c r="L85" i="224"/>
  <c r="I85" i="224"/>
  <c r="E85" i="224"/>
  <c r="AB84" i="224"/>
  <c r="Z84" i="224"/>
  <c r="X84" i="224"/>
  <c r="V84" i="224"/>
  <c r="U84" i="224"/>
  <c r="T84" i="224"/>
  <c r="S84" i="224"/>
  <c r="R84" i="224"/>
  <c r="Q84" i="224"/>
  <c r="P84" i="224"/>
  <c r="O84" i="224"/>
  <c r="N84" i="224"/>
  <c r="M84" i="224"/>
  <c r="L84" i="224"/>
  <c r="I84" i="224"/>
  <c r="E84" i="224"/>
  <c r="AB83" i="224"/>
  <c r="Z83" i="224"/>
  <c r="X83" i="224"/>
  <c r="V83" i="224"/>
  <c r="U83" i="224"/>
  <c r="T83" i="224"/>
  <c r="S83" i="224"/>
  <c r="R83" i="224"/>
  <c r="Q83" i="224"/>
  <c r="P83" i="224"/>
  <c r="O83" i="224"/>
  <c r="N83" i="224"/>
  <c r="M83" i="224"/>
  <c r="L83" i="224"/>
  <c r="I83" i="224"/>
  <c r="E83" i="224"/>
  <c r="AB82" i="224"/>
  <c r="Z82" i="224"/>
  <c r="X82" i="224"/>
  <c r="V82" i="224"/>
  <c r="U82" i="224"/>
  <c r="T82" i="224"/>
  <c r="S82" i="224"/>
  <c r="R82" i="224"/>
  <c r="Q82" i="224"/>
  <c r="P82" i="224"/>
  <c r="O82" i="224"/>
  <c r="N82" i="224"/>
  <c r="M82" i="224"/>
  <c r="L82" i="224"/>
  <c r="I82" i="224"/>
  <c r="E82" i="224"/>
  <c r="AB81" i="224"/>
  <c r="Z81" i="224"/>
  <c r="X81" i="224"/>
  <c r="V81" i="224"/>
  <c r="U81" i="224"/>
  <c r="T81" i="224"/>
  <c r="S81" i="224"/>
  <c r="R81" i="224"/>
  <c r="Q81" i="224"/>
  <c r="P81" i="224"/>
  <c r="O81" i="224"/>
  <c r="N81" i="224"/>
  <c r="M81" i="224"/>
  <c r="L81" i="224"/>
  <c r="I81" i="224"/>
  <c r="E81" i="224"/>
  <c r="AB80" i="224"/>
  <c r="Z80" i="224"/>
  <c r="X80" i="224"/>
  <c r="V80" i="224"/>
  <c r="U80" i="224"/>
  <c r="T80" i="224"/>
  <c r="S80" i="224"/>
  <c r="R80" i="224"/>
  <c r="Q80" i="224"/>
  <c r="P80" i="224"/>
  <c r="O80" i="224"/>
  <c r="N80" i="224"/>
  <c r="M80" i="224"/>
  <c r="L80" i="224"/>
  <c r="I80" i="224"/>
  <c r="E80" i="224"/>
  <c r="AB79" i="224"/>
  <c r="Z79" i="224"/>
  <c r="X79" i="224"/>
  <c r="V79" i="224"/>
  <c r="U79" i="224"/>
  <c r="T79" i="224"/>
  <c r="S79" i="224"/>
  <c r="R79" i="224"/>
  <c r="Q79" i="224"/>
  <c r="P79" i="224"/>
  <c r="O79" i="224"/>
  <c r="N79" i="224"/>
  <c r="M79" i="224"/>
  <c r="L79" i="224"/>
  <c r="I79" i="224"/>
  <c r="E79" i="224"/>
  <c r="AB78" i="224"/>
  <c r="Z78" i="224"/>
  <c r="X78" i="224"/>
  <c r="V78" i="224"/>
  <c r="U78" i="224"/>
  <c r="T78" i="224"/>
  <c r="S78" i="224"/>
  <c r="R78" i="224"/>
  <c r="Q78" i="224"/>
  <c r="P78" i="224"/>
  <c r="O78" i="224"/>
  <c r="N78" i="224"/>
  <c r="M78" i="224"/>
  <c r="L78" i="224"/>
  <c r="I78" i="224"/>
  <c r="E78" i="224"/>
  <c r="AB77" i="224"/>
  <c r="Z77" i="224"/>
  <c r="X77" i="224"/>
  <c r="V77" i="224"/>
  <c r="U77" i="224"/>
  <c r="T77" i="224"/>
  <c r="S77" i="224"/>
  <c r="R77" i="224"/>
  <c r="Q77" i="224"/>
  <c r="P77" i="224"/>
  <c r="O77" i="224"/>
  <c r="N77" i="224"/>
  <c r="M77" i="224"/>
  <c r="L77" i="224"/>
  <c r="I77" i="224"/>
  <c r="E77" i="224"/>
  <c r="AB76" i="224"/>
  <c r="Z76" i="224"/>
  <c r="X76" i="224"/>
  <c r="V76" i="224"/>
  <c r="U76" i="224"/>
  <c r="T76" i="224"/>
  <c r="S76" i="224"/>
  <c r="R76" i="224"/>
  <c r="Q76" i="224"/>
  <c r="P76" i="224"/>
  <c r="O76" i="224"/>
  <c r="N76" i="224"/>
  <c r="M76" i="224"/>
  <c r="L76" i="224"/>
  <c r="I76" i="224"/>
  <c r="E76" i="224"/>
  <c r="AB73" i="224"/>
  <c r="Z73" i="224"/>
  <c r="X73" i="224"/>
  <c r="V73" i="224"/>
  <c r="U73" i="224"/>
  <c r="T73" i="224"/>
  <c r="S73" i="224"/>
  <c r="R73" i="224"/>
  <c r="Q73" i="224"/>
  <c r="P73" i="224"/>
  <c r="O73" i="224"/>
  <c r="N73" i="224"/>
  <c r="M73" i="224"/>
  <c r="L73" i="224"/>
  <c r="I73" i="224"/>
  <c r="E73" i="224"/>
  <c r="AB72" i="224"/>
  <c r="Z72" i="224"/>
  <c r="X72" i="224"/>
  <c r="V72" i="224"/>
  <c r="U72" i="224"/>
  <c r="T72" i="224"/>
  <c r="S72" i="224"/>
  <c r="R72" i="224"/>
  <c r="Q72" i="224"/>
  <c r="P72" i="224"/>
  <c r="O72" i="224"/>
  <c r="N72" i="224"/>
  <c r="M72" i="224"/>
  <c r="L72" i="224"/>
  <c r="I72" i="224"/>
  <c r="E72" i="224"/>
  <c r="AB71" i="224"/>
  <c r="Z71" i="224"/>
  <c r="X71" i="224"/>
  <c r="V71" i="224"/>
  <c r="U71" i="224"/>
  <c r="T71" i="224"/>
  <c r="S71" i="224"/>
  <c r="R71" i="224"/>
  <c r="Q71" i="224"/>
  <c r="P71" i="224"/>
  <c r="O71" i="224"/>
  <c r="N71" i="224"/>
  <c r="M71" i="224"/>
  <c r="L71" i="224"/>
  <c r="I71" i="224"/>
  <c r="E71" i="224"/>
  <c r="AB70" i="224"/>
  <c r="Z70" i="224"/>
  <c r="X70" i="224"/>
  <c r="V70" i="224"/>
  <c r="U70" i="224"/>
  <c r="T70" i="224"/>
  <c r="S70" i="224"/>
  <c r="R70" i="224"/>
  <c r="Q70" i="224"/>
  <c r="P70" i="224"/>
  <c r="O70" i="224"/>
  <c r="N70" i="224"/>
  <c r="M70" i="224"/>
  <c r="L70" i="224"/>
  <c r="I70" i="224"/>
  <c r="E70" i="224"/>
  <c r="AB69" i="224"/>
  <c r="Z69" i="224"/>
  <c r="X69" i="224"/>
  <c r="V69" i="224"/>
  <c r="U69" i="224"/>
  <c r="T69" i="224"/>
  <c r="S69" i="224"/>
  <c r="R69" i="224"/>
  <c r="Q69" i="224"/>
  <c r="P69" i="224"/>
  <c r="O69" i="224"/>
  <c r="N69" i="224"/>
  <c r="M69" i="224"/>
  <c r="L69" i="224"/>
  <c r="I69" i="224"/>
  <c r="E69" i="224"/>
  <c r="AB68" i="224"/>
  <c r="Z68" i="224"/>
  <c r="X68" i="224"/>
  <c r="V68" i="224"/>
  <c r="U68" i="224"/>
  <c r="T68" i="224"/>
  <c r="S68" i="224"/>
  <c r="R68" i="224"/>
  <c r="Q68" i="224"/>
  <c r="P68" i="224"/>
  <c r="O68" i="224"/>
  <c r="N68" i="224"/>
  <c r="M68" i="224"/>
  <c r="L68" i="224"/>
  <c r="I68" i="224"/>
  <c r="E68" i="224"/>
  <c r="AB65" i="224"/>
  <c r="Z65" i="224"/>
  <c r="X65" i="224"/>
  <c r="V65" i="224"/>
  <c r="U65" i="224"/>
  <c r="T65" i="224"/>
  <c r="S65" i="224"/>
  <c r="R65" i="224"/>
  <c r="Q65" i="224"/>
  <c r="P65" i="224"/>
  <c r="O65" i="224"/>
  <c r="N65" i="224"/>
  <c r="M65" i="224"/>
  <c r="L65" i="224"/>
  <c r="I65" i="224"/>
  <c r="F65" i="224"/>
  <c r="E65" i="224"/>
  <c r="AB64" i="224"/>
  <c r="Z64" i="224"/>
  <c r="X64" i="224"/>
  <c r="V64" i="224"/>
  <c r="U64" i="224"/>
  <c r="T64" i="224"/>
  <c r="S64" i="224"/>
  <c r="R64" i="224"/>
  <c r="Q64" i="224"/>
  <c r="P64" i="224"/>
  <c r="O64" i="224"/>
  <c r="N64" i="224"/>
  <c r="M64" i="224"/>
  <c r="L64" i="224"/>
  <c r="I64" i="224"/>
  <c r="E64" i="224"/>
  <c r="AB63" i="224"/>
  <c r="Z63" i="224"/>
  <c r="X63" i="224"/>
  <c r="V63" i="224"/>
  <c r="U63" i="224"/>
  <c r="T63" i="224"/>
  <c r="S63" i="224"/>
  <c r="R63" i="224"/>
  <c r="Q63" i="224"/>
  <c r="P63" i="224"/>
  <c r="O63" i="224"/>
  <c r="N63" i="224"/>
  <c r="M63" i="224"/>
  <c r="L63" i="224"/>
  <c r="I63" i="224"/>
  <c r="E63" i="224"/>
  <c r="AB62" i="224"/>
  <c r="Z62" i="224"/>
  <c r="X62" i="224"/>
  <c r="V62" i="224"/>
  <c r="U62" i="224"/>
  <c r="T62" i="224"/>
  <c r="S62" i="224"/>
  <c r="R62" i="224"/>
  <c r="Q62" i="224"/>
  <c r="P62" i="224"/>
  <c r="O62" i="224"/>
  <c r="N62" i="224"/>
  <c r="M62" i="224"/>
  <c r="L62" i="224"/>
  <c r="I62" i="224"/>
  <c r="E62" i="224"/>
  <c r="AB61" i="224"/>
  <c r="Z61" i="224"/>
  <c r="X61" i="224"/>
  <c r="V61" i="224"/>
  <c r="U61" i="224"/>
  <c r="T61" i="224"/>
  <c r="S61" i="224"/>
  <c r="R61" i="224"/>
  <c r="Q61" i="224"/>
  <c r="P61" i="224"/>
  <c r="O61" i="224"/>
  <c r="N61" i="224"/>
  <c r="M61" i="224"/>
  <c r="L61" i="224"/>
  <c r="I61" i="224"/>
  <c r="E61" i="224"/>
  <c r="AB60" i="224"/>
  <c r="Z60" i="224"/>
  <c r="X60" i="224"/>
  <c r="V60" i="224"/>
  <c r="U60" i="224"/>
  <c r="T60" i="224"/>
  <c r="S60" i="224"/>
  <c r="R60" i="224"/>
  <c r="Q60" i="224"/>
  <c r="P60" i="224"/>
  <c r="O60" i="224"/>
  <c r="N60" i="224"/>
  <c r="M60" i="224"/>
  <c r="L60" i="224"/>
  <c r="I60" i="224"/>
  <c r="E60" i="224"/>
  <c r="AB59" i="224"/>
  <c r="Z59" i="224"/>
  <c r="X59" i="224"/>
  <c r="V59" i="224"/>
  <c r="U59" i="224"/>
  <c r="T59" i="224"/>
  <c r="S59" i="224"/>
  <c r="R59" i="224"/>
  <c r="Q59" i="224"/>
  <c r="P59" i="224"/>
  <c r="O59" i="224"/>
  <c r="N59" i="224"/>
  <c r="M59" i="224"/>
  <c r="L59" i="224"/>
  <c r="I59" i="224"/>
  <c r="E59" i="224"/>
  <c r="AB56" i="224"/>
  <c r="Z56" i="224"/>
  <c r="X56" i="224"/>
  <c r="V56" i="224"/>
  <c r="U56" i="224"/>
  <c r="T56" i="224"/>
  <c r="S56" i="224"/>
  <c r="R56" i="224"/>
  <c r="Q56" i="224"/>
  <c r="P56" i="224"/>
  <c r="O56" i="224"/>
  <c r="N56" i="224"/>
  <c r="M56" i="224"/>
  <c r="L56" i="224"/>
  <c r="I56" i="224"/>
  <c r="E56" i="224"/>
  <c r="AB55" i="224"/>
  <c r="Z55" i="224"/>
  <c r="X55" i="224"/>
  <c r="V55" i="224"/>
  <c r="U55" i="224"/>
  <c r="T55" i="224"/>
  <c r="S55" i="224"/>
  <c r="R55" i="224"/>
  <c r="Q55" i="224"/>
  <c r="P55" i="224"/>
  <c r="O55" i="224"/>
  <c r="N55" i="224"/>
  <c r="M55" i="224"/>
  <c r="L55" i="224"/>
  <c r="I55" i="224"/>
  <c r="E55" i="224"/>
  <c r="AB52" i="224"/>
  <c r="Z52" i="224"/>
  <c r="X52" i="224"/>
  <c r="V52" i="224"/>
  <c r="U52" i="224"/>
  <c r="T52" i="224"/>
  <c r="S52" i="224"/>
  <c r="R52" i="224"/>
  <c r="Q52" i="224"/>
  <c r="P52" i="224"/>
  <c r="O52" i="224"/>
  <c r="N52" i="224"/>
  <c r="M52" i="224"/>
  <c r="L52" i="224"/>
  <c r="I52" i="224"/>
  <c r="E52" i="224"/>
  <c r="AB51" i="224"/>
  <c r="Z51" i="224"/>
  <c r="X51" i="224"/>
  <c r="V51" i="224"/>
  <c r="U51" i="224"/>
  <c r="T51" i="224"/>
  <c r="S51" i="224"/>
  <c r="R51" i="224"/>
  <c r="Q51" i="224"/>
  <c r="P51" i="224"/>
  <c r="O51" i="224"/>
  <c r="N51" i="224"/>
  <c r="M51" i="224"/>
  <c r="L51" i="224"/>
  <c r="I51" i="224"/>
  <c r="E51" i="224"/>
  <c r="AB50" i="224"/>
  <c r="Z50" i="224"/>
  <c r="X50" i="224"/>
  <c r="V50" i="224"/>
  <c r="U50" i="224"/>
  <c r="T50" i="224"/>
  <c r="S50" i="224"/>
  <c r="R50" i="224"/>
  <c r="Q50" i="224"/>
  <c r="P50" i="224"/>
  <c r="O50" i="224"/>
  <c r="N50" i="224"/>
  <c r="M50" i="224"/>
  <c r="L50" i="224"/>
  <c r="I50" i="224"/>
  <c r="E50" i="224"/>
  <c r="AB49" i="224"/>
  <c r="Z49" i="224"/>
  <c r="X49" i="224"/>
  <c r="V49" i="224"/>
  <c r="U49" i="224"/>
  <c r="T49" i="224"/>
  <c r="S49" i="224"/>
  <c r="R49" i="224"/>
  <c r="Q49" i="224"/>
  <c r="P49" i="224"/>
  <c r="O49" i="224"/>
  <c r="N49" i="224"/>
  <c r="M49" i="224"/>
  <c r="L49" i="224"/>
  <c r="I49" i="224"/>
  <c r="E49" i="224"/>
  <c r="AB48" i="224"/>
  <c r="Z48" i="224"/>
  <c r="X48" i="224"/>
  <c r="V48" i="224"/>
  <c r="U48" i="224"/>
  <c r="T48" i="224"/>
  <c r="S48" i="224"/>
  <c r="R48" i="224"/>
  <c r="Q48" i="224"/>
  <c r="P48" i="224"/>
  <c r="O48" i="224"/>
  <c r="N48" i="224"/>
  <c r="M48" i="224"/>
  <c r="L48" i="224"/>
  <c r="I48" i="224"/>
  <c r="E48" i="224"/>
  <c r="AB47" i="224"/>
  <c r="Z47" i="224"/>
  <c r="X47" i="224"/>
  <c r="V47" i="224"/>
  <c r="U47" i="224"/>
  <c r="T47" i="224"/>
  <c r="S47" i="224"/>
  <c r="R47" i="224"/>
  <c r="Q47" i="224"/>
  <c r="P47" i="224"/>
  <c r="O47" i="224"/>
  <c r="N47" i="224"/>
  <c r="M47" i="224"/>
  <c r="L47" i="224"/>
  <c r="I47" i="224"/>
  <c r="E47" i="224"/>
  <c r="AB46" i="224"/>
  <c r="Z46" i="224"/>
  <c r="X46" i="224"/>
  <c r="V46" i="224"/>
  <c r="U46" i="224"/>
  <c r="T46" i="224"/>
  <c r="S46" i="224"/>
  <c r="R46" i="224"/>
  <c r="Q46" i="224"/>
  <c r="P46" i="224"/>
  <c r="O46" i="224"/>
  <c r="N46" i="224"/>
  <c r="M46" i="224"/>
  <c r="L46" i="224"/>
  <c r="I46" i="224"/>
  <c r="E46" i="224"/>
  <c r="AB45" i="224"/>
  <c r="Z45" i="224"/>
  <c r="X45" i="224"/>
  <c r="V45" i="224"/>
  <c r="U45" i="224"/>
  <c r="T45" i="224"/>
  <c r="S45" i="224"/>
  <c r="R45" i="224"/>
  <c r="Q45" i="224"/>
  <c r="P45" i="224"/>
  <c r="O45" i="224"/>
  <c r="N45" i="224"/>
  <c r="M45" i="224"/>
  <c r="L45" i="224"/>
  <c r="I45" i="224"/>
  <c r="E45" i="224"/>
  <c r="AB42" i="224"/>
  <c r="Z42" i="224"/>
  <c r="X42" i="224"/>
  <c r="V42" i="224"/>
  <c r="U42" i="224"/>
  <c r="T42" i="224"/>
  <c r="S42" i="224"/>
  <c r="R42" i="224"/>
  <c r="Q42" i="224"/>
  <c r="P42" i="224"/>
  <c r="O42" i="224"/>
  <c r="N42" i="224"/>
  <c r="M42" i="224"/>
  <c r="L42" i="224"/>
  <c r="I42" i="224"/>
  <c r="E42" i="224"/>
  <c r="AB41" i="224"/>
  <c r="Z41" i="224"/>
  <c r="X41" i="224"/>
  <c r="V41" i="224"/>
  <c r="U41" i="224"/>
  <c r="T41" i="224"/>
  <c r="S41" i="224"/>
  <c r="R41" i="224"/>
  <c r="Q41" i="224"/>
  <c r="P41" i="224"/>
  <c r="O41" i="224"/>
  <c r="N41" i="224"/>
  <c r="M41" i="224"/>
  <c r="L41" i="224"/>
  <c r="I41" i="224"/>
  <c r="E41" i="224"/>
  <c r="AB40" i="224"/>
  <c r="Z40" i="224"/>
  <c r="X40" i="224"/>
  <c r="V40" i="224"/>
  <c r="U40" i="224"/>
  <c r="T40" i="224"/>
  <c r="S40" i="224"/>
  <c r="R40" i="224"/>
  <c r="Q40" i="224"/>
  <c r="P40" i="224"/>
  <c r="O40" i="224"/>
  <c r="N40" i="224"/>
  <c r="M40" i="224"/>
  <c r="L40" i="224"/>
  <c r="I40" i="224"/>
  <c r="E40" i="224"/>
  <c r="AB39" i="224"/>
  <c r="Z39" i="224"/>
  <c r="X39" i="224"/>
  <c r="V39" i="224"/>
  <c r="U39" i="224"/>
  <c r="T39" i="224"/>
  <c r="S39" i="224"/>
  <c r="R39" i="224"/>
  <c r="Q39" i="224"/>
  <c r="P39" i="224"/>
  <c r="O39" i="224"/>
  <c r="N39" i="224"/>
  <c r="M39" i="224"/>
  <c r="L39" i="224"/>
  <c r="I39" i="224"/>
  <c r="E39" i="224"/>
  <c r="AB36" i="224"/>
  <c r="Z36" i="224"/>
  <c r="X36" i="224"/>
  <c r="V36" i="224"/>
  <c r="T36" i="224"/>
  <c r="S36" i="224"/>
  <c r="R36" i="224"/>
  <c r="Q36" i="224"/>
  <c r="P36" i="224"/>
  <c r="O36" i="224"/>
  <c r="N36" i="224"/>
  <c r="M36" i="224"/>
  <c r="L36" i="224"/>
  <c r="I36" i="224"/>
  <c r="E36" i="224"/>
  <c r="AB35" i="224"/>
  <c r="Z35" i="224"/>
  <c r="X35" i="224"/>
  <c r="V35" i="224"/>
  <c r="T35" i="224"/>
  <c r="S35" i="224"/>
  <c r="R35" i="224"/>
  <c r="Q35" i="224"/>
  <c r="P35" i="224"/>
  <c r="O35" i="224"/>
  <c r="N35" i="224"/>
  <c r="M35" i="224"/>
  <c r="L35" i="224"/>
  <c r="I35" i="224"/>
  <c r="E35" i="224"/>
  <c r="AB34" i="224"/>
  <c r="Z34" i="224"/>
  <c r="X34" i="224"/>
  <c r="V34" i="224"/>
  <c r="U34" i="224"/>
  <c r="T34" i="224"/>
  <c r="S34" i="224"/>
  <c r="R34" i="224"/>
  <c r="Q34" i="224"/>
  <c r="P34" i="224"/>
  <c r="O34" i="224"/>
  <c r="N34" i="224"/>
  <c r="M34" i="224"/>
  <c r="L34" i="224"/>
  <c r="I34" i="224"/>
  <c r="E34" i="224"/>
  <c r="AB33" i="224"/>
  <c r="Z33" i="224"/>
  <c r="X33" i="224"/>
  <c r="V33" i="224"/>
  <c r="U33" i="224"/>
  <c r="T33" i="224"/>
  <c r="S33" i="224"/>
  <c r="R33" i="224"/>
  <c r="Q33" i="224"/>
  <c r="P33" i="224"/>
  <c r="O33" i="224"/>
  <c r="N33" i="224"/>
  <c r="M33" i="224"/>
  <c r="L33" i="224"/>
  <c r="I33" i="224"/>
  <c r="E33" i="224"/>
  <c r="AB32" i="224"/>
  <c r="Z32" i="224"/>
  <c r="X32" i="224"/>
  <c r="V32" i="224"/>
  <c r="U32" i="224"/>
  <c r="T32" i="224"/>
  <c r="S32" i="224"/>
  <c r="R32" i="224"/>
  <c r="Q32" i="224"/>
  <c r="P32" i="224"/>
  <c r="O32" i="224"/>
  <c r="N32" i="224"/>
  <c r="M32" i="224"/>
  <c r="L32" i="224"/>
  <c r="I32" i="224"/>
  <c r="E32" i="224"/>
  <c r="AB31" i="224"/>
  <c r="Z31" i="224"/>
  <c r="X31" i="224"/>
  <c r="V31" i="224"/>
  <c r="U31" i="224"/>
  <c r="T31" i="224"/>
  <c r="S31" i="224"/>
  <c r="R31" i="224"/>
  <c r="Q31" i="224"/>
  <c r="P31" i="224"/>
  <c r="O31" i="224"/>
  <c r="N31" i="224"/>
  <c r="M31" i="224"/>
  <c r="L31" i="224"/>
  <c r="I31" i="224"/>
  <c r="E31" i="224"/>
  <c r="AB30" i="224"/>
  <c r="Z30" i="224"/>
  <c r="X30" i="224"/>
  <c r="V30" i="224"/>
  <c r="U30" i="224"/>
  <c r="T30" i="224"/>
  <c r="S30" i="224"/>
  <c r="R30" i="224"/>
  <c r="Q30" i="224"/>
  <c r="P30" i="224"/>
  <c r="O30" i="224"/>
  <c r="N30" i="224"/>
  <c r="M30" i="224"/>
  <c r="L30" i="224"/>
  <c r="I30" i="224"/>
  <c r="E30" i="224"/>
  <c r="AB29" i="224"/>
  <c r="Z29" i="224"/>
  <c r="X29" i="224"/>
  <c r="V29" i="224"/>
  <c r="U29" i="224"/>
  <c r="T29" i="224"/>
  <c r="S29" i="224"/>
  <c r="R29" i="224"/>
  <c r="Q29" i="224"/>
  <c r="P29" i="224"/>
  <c r="O29" i="224"/>
  <c r="N29" i="224"/>
  <c r="M29" i="224"/>
  <c r="L29" i="224"/>
  <c r="I29" i="224"/>
  <c r="E29" i="224"/>
  <c r="AB28" i="224"/>
  <c r="Z28" i="224"/>
  <c r="X28" i="224"/>
  <c r="V28" i="224"/>
  <c r="U28" i="224"/>
  <c r="T28" i="224"/>
  <c r="S28" i="224"/>
  <c r="R28" i="224"/>
  <c r="Q28" i="224"/>
  <c r="P28" i="224"/>
  <c r="O28" i="224"/>
  <c r="N28" i="224"/>
  <c r="M28" i="224"/>
  <c r="L28" i="224"/>
  <c r="I28" i="224"/>
  <c r="E28" i="224"/>
  <c r="AB27" i="224"/>
  <c r="Z27" i="224"/>
  <c r="X27" i="224"/>
  <c r="V27" i="224"/>
  <c r="U27" i="224"/>
  <c r="T27" i="224"/>
  <c r="S27" i="224"/>
  <c r="R27" i="224"/>
  <c r="Q27" i="224"/>
  <c r="P27" i="224"/>
  <c r="O27" i="224"/>
  <c r="N27" i="224"/>
  <c r="M27" i="224"/>
  <c r="L27" i="224"/>
  <c r="I27" i="224"/>
  <c r="E27" i="224"/>
  <c r="AB26" i="224"/>
  <c r="Z26" i="224"/>
  <c r="X26" i="224"/>
  <c r="V26" i="224"/>
  <c r="U26" i="224"/>
  <c r="T26" i="224"/>
  <c r="S26" i="224"/>
  <c r="R26" i="224"/>
  <c r="Q26" i="224"/>
  <c r="P26" i="224"/>
  <c r="O26" i="224"/>
  <c r="N26" i="224"/>
  <c r="M26" i="224"/>
  <c r="L26" i="224"/>
  <c r="I26" i="224"/>
  <c r="E26" i="224"/>
  <c r="AB25" i="224"/>
  <c r="Z25" i="224"/>
  <c r="X25" i="224"/>
  <c r="V25" i="224"/>
  <c r="U25" i="224"/>
  <c r="T25" i="224"/>
  <c r="S25" i="224"/>
  <c r="R25" i="224"/>
  <c r="Q25" i="224"/>
  <c r="P25" i="224"/>
  <c r="O25" i="224"/>
  <c r="N25" i="224"/>
  <c r="M25" i="224"/>
  <c r="L25" i="224"/>
  <c r="I25" i="224"/>
  <c r="E25" i="224"/>
  <c r="AB24" i="224"/>
  <c r="Z24" i="224"/>
  <c r="X24" i="224"/>
  <c r="V24" i="224"/>
  <c r="U24" i="224"/>
  <c r="T24" i="224"/>
  <c r="S24" i="224"/>
  <c r="R24" i="224"/>
  <c r="Q24" i="224"/>
  <c r="P24" i="224"/>
  <c r="O24" i="224"/>
  <c r="N24" i="224"/>
  <c r="M24" i="224"/>
  <c r="L24" i="224"/>
  <c r="I24" i="224"/>
  <c r="E24" i="224"/>
  <c r="AB23" i="224"/>
  <c r="Z23" i="224"/>
  <c r="X23" i="224"/>
  <c r="V23" i="224"/>
  <c r="U23" i="224"/>
  <c r="T23" i="224"/>
  <c r="S23" i="224"/>
  <c r="R23" i="224"/>
  <c r="Q23" i="224"/>
  <c r="P23" i="224"/>
  <c r="O23" i="224"/>
  <c r="N23" i="224"/>
  <c r="M23" i="224"/>
  <c r="L23" i="224"/>
  <c r="I23" i="224"/>
  <c r="E23" i="224"/>
  <c r="AB22" i="224"/>
  <c r="Z22" i="224"/>
  <c r="X22" i="224"/>
  <c r="V22" i="224"/>
  <c r="U22" i="224"/>
  <c r="T22" i="224"/>
  <c r="S22" i="224"/>
  <c r="R22" i="224"/>
  <c r="Q22" i="224"/>
  <c r="P22" i="224"/>
  <c r="O22" i="224"/>
  <c r="N22" i="224"/>
  <c r="M22" i="224"/>
  <c r="L22" i="224"/>
  <c r="I22" i="224"/>
  <c r="E22" i="224"/>
  <c r="AB21" i="224"/>
  <c r="Z21" i="224"/>
  <c r="X21" i="224"/>
  <c r="V21" i="224"/>
  <c r="U21" i="224"/>
  <c r="T21" i="224"/>
  <c r="S21" i="224"/>
  <c r="R21" i="224"/>
  <c r="Q21" i="224"/>
  <c r="P21" i="224"/>
  <c r="O21" i="224"/>
  <c r="N21" i="224"/>
  <c r="M21" i="224"/>
  <c r="L21" i="224"/>
  <c r="I21" i="224"/>
  <c r="E21" i="224"/>
  <c r="AB20" i="224"/>
  <c r="Z20" i="224"/>
  <c r="X20" i="224"/>
  <c r="V20" i="224"/>
  <c r="U20" i="224"/>
  <c r="T20" i="224"/>
  <c r="S20" i="224"/>
  <c r="R20" i="224"/>
  <c r="Q20" i="224"/>
  <c r="P20" i="224"/>
  <c r="O20" i="224"/>
  <c r="N20" i="224"/>
  <c r="M20" i="224"/>
  <c r="L20" i="224"/>
  <c r="I20" i="224"/>
  <c r="E20" i="224"/>
  <c r="AB19" i="224"/>
  <c r="Z19" i="224"/>
  <c r="X19" i="224"/>
  <c r="V19" i="224"/>
  <c r="U19" i="224"/>
  <c r="T19" i="224"/>
  <c r="S19" i="224"/>
  <c r="R19" i="224"/>
  <c r="Q19" i="224"/>
  <c r="P19" i="224"/>
  <c r="O19" i="224"/>
  <c r="N19" i="224"/>
  <c r="M19" i="224"/>
  <c r="L19" i="224"/>
  <c r="I19" i="224"/>
  <c r="E19" i="224"/>
  <c r="AB18" i="224"/>
  <c r="Z18" i="224"/>
  <c r="X18" i="224"/>
  <c r="V18" i="224"/>
  <c r="U18" i="224"/>
  <c r="T18" i="224"/>
  <c r="S18" i="224"/>
  <c r="R18" i="224"/>
  <c r="Q18" i="224"/>
  <c r="P18" i="224"/>
  <c r="O18" i="224"/>
  <c r="N18" i="224"/>
  <c r="M18" i="224"/>
  <c r="L18" i="224"/>
  <c r="I18" i="224"/>
  <c r="E18" i="224"/>
  <c r="AB17" i="224"/>
  <c r="Z17" i="224"/>
  <c r="X17" i="224"/>
  <c r="V17" i="224"/>
  <c r="U17" i="224"/>
  <c r="T17" i="224"/>
  <c r="S17" i="224"/>
  <c r="R17" i="224"/>
  <c r="Q17" i="224"/>
  <c r="P17" i="224"/>
  <c r="O17" i="224"/>
  <c r="N17" i="224"/>
  <c r="M17" i="224"/>
  <c r="L17" i="224"/>
  <c r="I17" i="224"/>
  <c r="E17" i="224"/>
  <c r="AB16" i="224"/>
  <c r="Z16" i="224"/>
  <c r="X16" i="224"/>
  <c r="V16" i="224"/>
  <c r="U16" i="224"/>
  <c r="T16" i="224"/>
  <c r="S16" i="224"/>
  <c r="R16" i="224"/>
  <c r="Q16" i="224"/>
  <c r="P16" i="224"/>
  <c r="O16" i="224"/>
  <c r="N16" i="224"/>
  <c r="M16" i="224"/>
  <c r="L16" i="224"/>
  <c r="I16" i="224"/>
  <c r="E16" i="224"/>
  <c r="AB15" i="224"/>
  <c r="Z15" i="224"/>
  <c r="X15" i="224"/>
  <c r="V15" i="224"/>
  <c r="U15" i="224"/>
  <c r="T15" i="224"/>
  <c r="S15" i="224"/>
  <c r="R15" i="224"/>
  <c r="Q15" i="224"/>
  <c r="P15" i="224"/>
  <c r="O15" i="224"/>
  <c r="N15" i="224"/>
  <c r="M15" i="224"/>
  <c r="L15" i="224"/>
  <c r="I15" i="224"/>
  <c r="E15" i="224"/>
  <c r="AB14" i="224"/>
  <c r="Z14" i="224"/>
  <c r="X14" i="224"/>
  <c r="V14" i="224"/>
  <c r="U14" i="224"/>
  <c r="T14" i="224"/>
  <c r="S14" i="224"/>
  <c r="R14" i="224"/>
  <c r="Q14" i="224"/>
  <c r="P14" i="224"/>
  <c r="O14" i="224"/>
  <c r="N14" i="224"/>
  <c r="M14" i="224"/>
  <c r="L14" i="224"/>
  <c r="I14" i="224"/>
  <c r="E14" i="224"/>
  <c r="AB13" i="224"/>
  <c r="Z13" i="224"/>
  <c r="X13" i="224"/>
  <c r="V13" i="224"/>
  <c r="U13" i="224"/>
  <c r="T13" i="224"/>
  <c r="S13" i="224"/>
  <c r="R13" i="224"/>
  <c r="Q13" i="224"/>
  <c r="P13" i="224"/>
  <c r="O13" i="224"/>
  <c r="N13" i="224"/>
  <c r="M13" i="224"/>
  <c r="L13" i="224"/>
  <c r="I13" i="224"/>
  <c r="E13" i="224"/>
  <c r="AB12" i="224"/>
  <c r="Z12" i="224"/>
  <c r="X12" i="224"/>
  <c r="V12" i="224"/>
  <c r="U12" i="224"/>
  <c r="T12" i="224"/>
  <c r="S12" i="224"/>
  <c r="R12" i="224"/>
  <c r="Q12" i="224"/>
  <c r="P12" i="224"/>
  <c r="O12" i="224"/>
  <c r="N12" i="224"/>
  <c r="M12" i="224"/>
  <c r="L12" i="224"/>
  <c r="I12" i="224"/>
  <c r="E12" i="224"/>
  <c r="AB11" i="224"/>
  <c r="Z11" i="224"/>
  <c r="X11" i="224"/>
  <c r="V11" i="224"/>
  <c r="U11" i="224"/>
  <c r="T11" i="224"/>
  <c r="S11" i="224"/>
  <c r="R11" i="224"/>
  <c r="Q11" i="224"/>
  <c r="P11" i="224"/>
  <c r="O11" i="224"/>
  <c r="N11" i="224"/>
  <c r="M11" i="224"/>
  <c r="L11" i="224"/>
  <c r="I11" i="224"/>
  <c r="E11" i="224"/>
  <c r="AB10" i="224"/>
  <c r="Z10" i="224"/>
  <c r="X10" i="224"/>
  <c r="V10" i="224"/>
  <c r="U10" i="224"/>
  <c r="T10" i="224"/>
  <c r="S10" i="224"/>
  <c r="R10" i="224"/>
  <c r="Q10" i="224"/>
  <c r="P10" i="224"/>
  <c r="O10" i="224"/>
  <c r="N10" i="224"/>
  <c r="M10" i="224"/>
  <c r="L10" i="224"/>
  <c r="I10" i="224"/>
  <c r="E10" i="224"/>
  <c r="AB9" i="224"/>
  <c r="Z9" i="224"/>
  <c r="X9" i="224"/>
  <c r="V9" i="224"/>
  <c r="U9" i="224"/>
  <c r="T9" i="224"/>
  <c r="S9" i="224"/>
  <c r="R9" i="224"/>
  <c r="Q9" i="224"/>
  <c r="P9" i="224"/>
  <c r="O9" i="224"/>
  <c r="N9" i="224"/>
  <c r="M9" i="224"/>
  <c r="L9" i="224"/>
  <c r="I9" i="224"/>
  <c r="E9" i="224"/>
  <c r="AB8" i="224"/>
  <c r="Z8" i="224"/>
  <c r="X8" i="224"/>
  <c r="V8" i="224"/>
  <c r="U8" i="224"/>
  <c r="T8" i="224"/>
  <c r="S8" i="224"/>
  <c r="R8" i="224"/>
  <c r="Q8" i="224"/>
  <c r="P8" i="224"/>
  <c r="O8" i="224"/>
  <c r="N8" i="224"/>
  <c r="M8" i="224"/>
  <c r="L8" i="224"/>
  <c r="I8" i="224"/>
  <c r="E8" i="224"/>
  <c r="AB7" i="224"/>
  <c r="Z7" i="224"/>
  <c r="X7" i="224"/>
  <c r="V7" i="224"/>
  <c r="U7" i="224"/>
  <c r="T7" i="224"/>
  <c r="S7" i="224"/>
  <c r="R7" i="224"/>
  <c r="Q7" i="224"/>
  <c r="P7" i="224"/>
  <c r="O7" i="224"/>
  <c r="N7" i="224"/>
  <c r="M7" i="224"/>
  <c r="L7" i="224"/>
  <c r="I7" i="224"/>
  <c r="E7" i="224"/>
  <c r="AB6" i="224"/>
  <c r="Z6" i="224"/>
  <c r="X6" i="224"/>
  <c r="V6" i="224"/>
  <c r="U6" i="224"/>
  <c r="T6" i="224"/>
  <c r="S6" i="224"/>
  <c r="R6" i="224"/>
  <c r="Q6" i="224"/>
  <c r="P6" i="224"/>
  <c r="O6" i="224"/>
  <c r="N6" i="224"/>
  <c r="M6" i="224"/>
  <c r="L6" i="224"/>
  <c r="I6" i="224"/>
  <c r="E6" i="224"/>
  <c r="Z29" i="223"/>
  <c r="X29" i="223"/>
  <c r="V29" i="223"/>
  <c r="T29" i="223"/>
  <c r="S29" i="223"/>
  <c r="R29" i="223"/>
  <c r="Q29" i="223"/>
  <c r="P29" i="223"/>
  <c r="O29" i="223"/>
  <c r="N29" i="223"/>
  <c r="M29" i="223"/>
  <c r="L29" i="223"/>
  <c r="I29" i="223"/>
  <c r="E29" i="223"/>
  <c r="Z28" i="223"/>
  <c r="X28" i="223"/>
  <c r="V28" i="223"/>
  <c r="T28" i="223"/>
  <c r="S28" i="223"/>
  <c r="R28" i="223"/>
  <c r="Q28" i="223"/>
  <c r="P28" i="223"/>
  <c r="O28" i="223"/>
  <c r="N28" i="223"/>
  <c r="M28" i="223"/>
  <c r="L28" i="223"/>
  <c r="I28" i="223"/>
  <c r="E28" i="223"/>
  <c r="Z27" i="223"/>
  <c r="X27" i="223"/>
  <c r="V27" i="223"/>
  <c r="T27" i="223"/>
  <c r="S27" i="223"/>
  <c r="R27" i="223"/>
  <c r="Q27" i="223"/>
  <c r="P27" i="223"/>
  <c r="O27" i="223"/>
  <c r="N27" i="223"/>
  <c r="M27" i="223"/>
  <c r="L27" i="223"/>
  <c r="I27" i="223"/>
  <c r="E27" i="223"/>
  <c r="Z26" i="223"/>
  <c r="X26" i="223"/>
  <c r="V26" i="223"/>
  <c r="U26" i="223"/>
  <c r="T26" i="223"/>
  <c r="S26" i="223"/>
  <c r="R26" i="223"/>
  <c r="Q26" i="223"/>
  <c r="P26" i="223"/>
  <c r="O26" i="223"/>
  <c r="N26" i="223"/>
  <c r="M26" i="223"/>
  <c r="L26" i="223"/>
  <c r="I26" i="223"/>
  <c r="E26" i="223"/>
  <c r="Z25" i="223"/>
  <c r="X25" i="223"/>
  <c r="V25" i="223"/>
  <c r="U25" i="223"/>
  <c r="T25" i="223"/>
  <c r="S25" i="223"/>
  <c r="R25" i="223"/>
  <c r="Q25" i="223"/>
  <c r="P25" i="223"/>
  <c r="O25" i="223"/>
  <c r="N25" i="223"/>
  <c r="M25" i="223"/>
  <c r="L25" i="223"/>
  <c r="I25" i="223"/>
  <c r="E25" i="223"/>
  <c r="Z24" i="223"/>
  <c r="X24" i="223"/>
  <c r="V24" i="223"/>
  <c r="U24" i="223"/>
  <c r="T24" i="223"/>
  <c r="S24" i="223"/>
  <c r="R24" i="223"/>
  <c r="Q24" i="223"/>
  <c r="P24" i="223"/>
  <c r="O24" i="223"/>
  <c r="N24" i="223"/>
  <c r="M24" i="223"/>
  <c r="L24" i="223"/>
  <c r="I24" i="223"/>
  <c r="E24" i="223"/>
  <c r="Z23" i="223"/>
  <c r="X23" i="223"/>
  <c r="V23" i="223"/>
  <c r="U23" i="223"/>
  <c r="T23" i="223"/>
  <c r="S23" i="223"/>
  <c r="R23" i="223"/>
  <c r="Q23" i="223"/>
  <c r="P23" i="223"/>
  <c r="O23" i="223"/>
  <c r="N23" i="223"/>
  <c r="M23" i="223"/>
  <c r="L23" i="223"/>
  <c r="I23" i="223"/>
  <c r="E23" i="223"/>
  <c r="Z22" i="223"/>
  <c r="X22" i="223"/>
  <c r="V22" i="223"/>
  <c r="T22" i="223"/>
  <c r="S22" i="223"/>
  <c r="R22" i="223"/>
  <c r="Q22" i="223"/>
  <c r="P22" i="223"/>
  <c r="O22" i="223"/>
  <c r="N22" i="223"/>
  <c r="M22" i="223"/>
  <c r="L22" i="223"/>
  <c r="I22" i="223"/>
  <c r="E22" i="223"/>
  <c r="Z21" i="223"/>
  <c r="X21" i="223"/>
  <c r="V21" i="223"/>
  <c r="U21" i="223"/>
  <c r="T21" i="223"/>
  <c r="S21" i="223"/>
  <c r="R21" i="223"/>
  <c r="Q21" i="223"/>
  <c r="P21" i="223"/>
  <c r="O21" i="223"/>
  <c r="N21" i="223"/>
  <c r="M21" i="223"/>
  <c r="L21" i="223"/>
  <c r="I21" i="223"/>
  <c r="E21" i="223"/>
  <c r="Z20" i="223"/>
  <c r="X20" i="223"/>
  <c r="V20" i="223"/>
  <c r="U20" i="223"/>
  <c r="T20" i="223"/>
  <c r="S20" i="223"/>
  <c r="R20" i="223"/>
  <c r="Q20" i="223"/>
  <c r="P20" i="223"/>
  <c r="O20" i="223"/>
  <c r="N20" i="223"/>
  <c r="M20" i="223"/>
  <c r="L20" i="223"/>
  <c r="I20" i="223"/>
  <c r="E20" i="223"/>
  <c r="Z19" i="223"/>
  <c r="X19" i="223"/>
  <c r="V19" i="223"/>
  <c r="U19" i="223"/>
  <c r="T19" i="223"/>
  <c r="S19" i="223"/>
  <c r="R19" i="223"/>
  <c r="Q19" i="223"/>
  <c r="P19" i="223"/>
  <c r="O19" i="223"/>
  <c r="N19" i="223"/>
  <c r="M19" i="223"/>
  <c r="L19" i="223"/>
  <c r="I19" i="223"/>
  <c r="E19" i="223"/>
  <c r="Z18" i="223"/>
  <c r="X18" i="223"/>
  <c r="V18" i="223"/>
  <c r="U18" i="223"/>
  <c r="T18" i="223"/>
  <c r="S18" i="223"/>
  <c r="R18" i="223"/>
  <c r="Q18" i="223"/>
  <c r="P18" i="223"/>
  <c r="O18" i="223"/>
  <c r="N18" i="223"/>
  <c r="M18" i="223"/>
  <c r="L18" i="223"/>
  <c r="I18" i="223"/>
  <c r="E18" i="223"/>
  <c r="Z17" i="223"/>
  <c r="X17" i="223"/>
  <c r="V17" i="223"/>
  <c r="U17" i="223"/>
  <c r="T17" i="223"/>
  <c r="S17" i="223"/>
  <c r="R17" i="223"/>
  <c r="Q17" i="223"/>
  <c r="P17" i="223"/>
  <c r="O17" i="223"/>
  <c r="N17" i="223"/>
  <c r="M17" i="223"/>
  <c r="L17" i="223"/>
  <c r="I17" i="223"/>
  <c r="E17" i="223"/>
  <c r="Z16" i="223"/>
  <c r="X16" i="223"/>
  <c r="V16" i="223"/>
  <c r="U16" i="223"/>
  <c r="T16" i="223"/>
  <c r="S16" i="223"/>
  <c r="R16" i="223"/>
  <c r="Q16" i="223"/>
  <c r="P16" i="223"/>
  <c r="O16" i="223"/>
  <c r="N16" i="223"/>
  <c r="M16" i="223"/>
  <c r="L16" i="223"/>
  <c r="I16" i="223"/>
  <c r="E16" i="223"/>
  <c r="Z15" i="223"/>
  <c r="X15" i="223"/>
  <c r="V15" i="223"/>
  <c r="T15" i="223"/>
  <c r="S15" i="223"/>
  <c r="R15" i="223"/>
  <c r="Q15" i="223"/>
  <c r="P15" i="223"/>
  <c r="O15" i="223"/>
  <c r="N15" i="223"/>
  <c r="M15" i="223"/>
  <c r="L15" i="223"/>
  <c r="I15" i="223"/>
  <c r="E15" i="223"/>
  <c r="Z14" i="223"/>
  <c r="X14" i="223"/>
  <c r="V14" i="223"/>
  <c r="U14" i="223"/>
  <c r="T14" i="223"/>
  <c r="S14" i="223"/>
  <c r="R14" i="223"/>
  <c r="Q14" i="223"/>
  <c r="P14" i="223"/>
  <c r="O14" i="223"/>
  <c r="N14" i="223"/>
  <c r="M14" i="223"/>
  <c r="L14" i="223"/>
  <c r="I14" i="223"/>
  <c r="E14" i="223"/>
  <c r="Z13" i="223"/>
  <c r="X13" i="223"/>
  <c r="V13" i="223"/>
  <c r="U13" i="223"/>
  <c r="T13" i="223"/>
  <c r="S13" i="223"/>
  <c r="R13" i="223"/>
  <c r="Q13" i="223"/>
  <c r="P13" i="223"/>
  <c r="O13" i="223"/>
  <c r="N13" i="223"/>
  <c r="M13" i="223"/>
  <c r="L13" i="223"/>
  <c r="I13" i="223"/>
  <c r="E13" i="223"/>
  <c r="Z12" i="223"/>
  <c r="X12" i="223"/>
  <c r="V12" i="223"/>
  <c r="U12" i="223"/>
  <c r="T12" i="223"/>
  <c r="S12" i="223"/>
  <c r="R12" i="223"/>
  <c r="Q12" i="223"/>
  <c r="P12" i="223"/>
  <c r="O12" i="223"/>
  <c r="N12" i="223"/>
  <c r="M12" i="223"/>
  <c r="L12" i="223"/>
  <c r="I12" i="223"/>
  <c r="E12" i="223"/>
  <c r="Z11" i="223"/>
  <c r="X11" i="223"/>
  <c r="V11" i="223"/>
  <c r="T11" i="223"/>
  <c r="S11" i="223"/>
  <c r="R11" i="223"/>
  <c r="Q11" i="223"/>
  <c r="P11" i="223"/>
  <c r="O11" i="223"/>
  <c r="N11" i="223"/>
  <c r="M11" i="223"/>
  <c r="L11" i="223"/>
  <c r="I11" i="223"/>
  <c r="E11" i="223"/>
  <c r="Z10" i="223"/>
  <c r="X10" i="223"/>
  <c r="V10" i="223"/>
  <c r="U10" i="223"/>
  <c r="T10" i="223"/>
  <c r="S10" i="223"/>
  <c r="R10" i="223"/>
  <c r="Q10" i="223"/>
  <c r="P10" i="223"/>
  <c r="O10" i="223"/>
  <c r="N10" i="223"/>
  <c r="M10" i="223"/>
  <c r="L10" i="223"/>
  <c r="I10" i="223"/>
  <c r="E10" i="223"/>
  <c r="Z9" i="223"/>
  <c r="X9" i="223"/>
  <c r="V9" i="223"/>
  <c r="U9" i="223"/>
  <c r="T9" i="223"/>
  <c r="S9" i="223"/>
  <c r="R9" i="223"/>
  <c r="Q9" i="223"/>
  <c r="P9" i="223"/>
  <c r="O9" i="223"/>
  <c r="N9" i="223"/>
  <c r="M9" i="223"/>
  <c r="L9" i="223"/>
  <c r="I9" i="223"/>
  <c r="E9" i="223"/>
  <c r="Z8" i="223"/>
  <c r="X8" i="223"/>
  <c r="V8" i="223"/>
  <c r="U8" i="223"/>
  <c r="T8" i="223"/>
  <c r="S8" i="223"/>
  <c r="R8" i="223"/>
  <c r="Q8" i="223"/>
  <c r="P8" i="223"/>
  <c r="O8" i="223"/>
  <c r="N8" i="223"/>
  <c r="M8" i="223"/>
  <c r="L8" i="223"/>
  <c r="I8" i="223"/>
  <c r="E8" i="223"/>
  <c r="Z7" i="223"/>
  <c r="X7" i="223"/>
  <c r="V7" i="223"/>
  <c r="U7" i="223"/>
  <c r="T7" i="223"/>
  <c r="S7" i="223"/>
  <c r="R7" i="223"/>
  <c r="Q7" i="223"/>
  <c r="P7" i="223"/>
  <c r="O7" i="223"/>
  <c r="N7" i="223"/>
  <c r="M7" i="223"/>
  <c r="L7" i="223"/>
  <c r="I7" i="223"/>
  <c r="E7" i="223"/>
  <c r="Z6" i="223"/>
  <c r="X6" i="223"/>
  <c r="V6" i="223"/>
  <c r="U6" i="223"/>
  <c r="T6" i="223"/>
  <c r="S6" i="223"/>
  <c r="R6" i="223"/>
  <c r="Q6" i="223"/>
  <c r="P6" i="223"/>
  <c r="O6" i="223"/>
  <c r="N6" i="223"/>
  <c r="M6" i="223"/>
  <c r="L6" i="223"/>
  <c r="I6" i="223"/>
  <c r="E6" i="223"/>
  <c r="O31" i="220"/>
  <c r="O29" i="220"/>
  <c r="M29" i="220"/>
  <c r="L29" i="220"/>
  <c r="K29" i="220"/>
  <c r="O28" i="220"/>
  <c r="N28" i="220"/>
  <c r="M28" i="220"/>
  <c r="K28" i="220"/>
  <c r="H28" i="220"/>
  <c r="O27" i="220"/>
  <c r="N27" i="220"/>
  <c r="M27" i="220"/>
  <c r="K27" i="220"/>
  <c r="H27" i="220"/>
  <c r="O26" i="220"/>
  <c r="N26" i="220"/>
  <c r="M26" i="220"/>
  <c r="K26" i="220"/>
  <c r="H26" i="220"/>
  <c r="O25" i="220"/>
  <c r="N25" i="220"/>
  <c r="M25" i="220"/>
  <c r="K25" i="220"/>
  <c r="H25" i="220"/>
  <c r="O24" i="220"/>
  <c r="N24" i="220"/>
  <c r="M24" i="220"/>
  <c r="K24" i="220"/>
  <c r="H24" i="220"/>
  <c r="O23" i="220"/>
  <c r="N23" i="220"/>
  <c r="M23" i="220"/>
  <c r="K23" i="220"/>
  <c r="H23" i="220"/>
  <c r="O22" i="220"/>
  <c r="N22" i="220"/>
  <c r="M22" i="220"/>
  <c r="K22" i="220"/>
  <c r="H22" i="220"/>
  <c r="O21" i="220"/>
  <c r="N21" i="220"/>
  <c r="M21" i="220"/>
  <c r="K21" i="220"/>
  <c r="H21" i="220"/>
  <c r="O20" i="220"/>
  <c r="N20" i="220"/>
  <c r="M20" i="220"/>
  <c r="K20" i="220"/>
  <c r="H20" i="220"/>
  <c r="O19" i="220"/>
  <c r="N19" i="220"/>
  <c r="M19" i="220"/>
  <c r="K19" i="220"/>
  <c r="H19" i="220"/>
  <c r="O18" i="220"/>
  <c r="N18" i="220"/>
  <c r="M18" i="220"/>
  <c r="K18" i="220"/>
  <c r="H18" i="220"/>
  <c r="O17" i="220"/>
  <c r="N17" i="220"/>
  <c r="M17" i="220"/>
  <c r="K17" i="220"/>
  <c r="H17" i="220"/>
  <c r="O16" i="220"/>
  <c r="N16" i="220"/>
  <c r="M16" i="220"/>
  <c r="K16" i="220"/>
  <c r="H16" i="220"/>
  <c r="O15" i="220"/>
  <c r="N15" i="220"/>
  <c r="M15" i="220"/>
  <c r="H15" i="220"/>
  <c r="O14" i="220"/>
  <c r="N14" i="220"/>
  <c r="M14" i="220"/>
  <c r="K14" i="220"/>
  <c r="H14" i="220"/>
  <c r="O13" i="220"/>
  <c r="N13" i="220"/>
  <c r="M13" i="220"/>
  <c r="K13" i="220"/>
  <c r="H13" i="220"/>
  <c r="O12" i="220"/>
  <c r="N12" i="220"/>
  <c r="M12" i="220"/>
  <c r="K12" i="220"/>
  <c r="I12" i="220"/>
  <c r="H12" i="220"/>
  <c r="O11" i="220"/>
  <c r="N11" i="220"/>
  <c r="M11" i="220"/>
  <c r="K11" i="220"/>
  <c r="H11" i="220"/>
  <c r="O10" i="220"/>
  <c r="N10" i="220"/>
  <c r="M10" i="220"/>
  <c r="K10" i="220"/>
  <c r="H10" i="220"/>
  <c r="O9" i="220"/>
  <c r="N9" i="220"/>
  <c r="M9" i="220"/>
  <c r="K9" i="220"/>
  <c r="I9" i="220"/>
  <c r="H9" i="220"/>
  <c r="O8" i="220"/>
  <c r="N8" i="220"/>
  <c r="M8" i="220"/>
  <c r="K8" i="220"/>
  <c r="H8" i="220"/>
  <c r="O7" i="220"/>
  <c r="N7" i="220"/>
  <c r="M7" i="220"/>
  <c r="K7" i="220"/>
  <c r="H7" i="220"/>
  <c r="O6" i="220"/>
  <c r="N6" i="220"/>
  <c r="M6" i="220"/>
  <c r="K6" i="220"/>
  <c r="H6" i="220"/>
  <c r="O5" i="220"/>
  <c r="N5" i="220"/>
  <c r="M5" i="220"/>
  <c r="K5" i="220"/>
  <c r="H5" i="220"/>
  <c r="K32" i="219"/>
  <c r="H32" i="219"/>
  <c r="K31" i="219"/>
  <c r="J31" i="219"/>
  <c r="H31" i="219"/>
  <c r="K30" i="219"/>
  <c r="J30" i="219"/>
  <c r="H30" i="219"/>
  <c r="K29" i="219"/>
  <c r="J29" i="219"/>
  <c r="H29" i="219"/>
  <c r="K28" i="219"/>
  <c r="J28" i="219"/>
  <c r="H28" i="219"/>
  <c r="K27" i="219"/>
  <c r="J27" i="219"/>
  <c r="H27" i="219"/>
  <c r="K26" i="219"/>
  <c r="J26" i="219"/>
  <c r="H26" i="219"/>
  <c r="K25" i="219"/>
  <c r="H25" i="219"/>
  <c r="K24" i="219"/>
  <c r="H24" i="219"/>
  <c r="K23" i="219"/>
  <c r="J23" i="219"/>
  <c r="H23" i="219"/>
  <c r="K22" i="219"/>
  <c r="J22" i="219"/>
  <c r="H22" i="219"/>
  <c r="K21" i="219"/>
  <c r="J21" i="219"/>
  <c r="H21" i="219"/>
  <c r="G21" i="219"/>
  <c r="K20" i="219"/>
  <c r="J20" i="219"/>
  <c r="H20" i="219"/>
  <c r="K19" i="219"/>
  <c r="J19" i="219"/>
  <c r="H19" i="219"/>
  <c r="K18" i="219"/>
  <c r="J18" i="219"/>
  <c r="H18" i="219"/>
  <c r="K17" i="219"/>
  <c r="J17" i="219"/>
  <c r="H17" i="219"/>
  <c r="K16" i="219"/>
  <c r="J16" i="219"/>
  <c r="H16" i="219"/>
  <c r="K15" i="219"/>
  <c r="J15" i="219"/>
  <c r="H15" i="219"/>
  <c r="K14" i="219"/>
  <c r="H14" i="219"/>
  <c r="K13" i="219"/>
  <c r="J13" i="219"/>
  <c r="H13" i="219"/>
  <c r="K12" i="219"/>
  <c r="J12" i="219"/>
  <c r="H12" i="219"/>
  <c r="G12" i="219"/>
  <c r="F12" i="219"/>
  <c r="K11" i="219"/>
  <c r="J11" i="219"/>
  <c r="H11" i="219"/>
  <c r="K10" i="219"/>
  <c r="J10" i="219"/>
  <c r="H10" i="219"/>
  <c r="K9" i="219"/>
  <c r="J9" i="219"/>
  <c r="H9" i="219"/>
  <c r="G9" i="219"/>
  <c r="F9" i="219"/>
  <c r="K8" i="219"/>
  <c r="J8" i="219"/>
  <c r="H8" i="219"/>
  <c r="G8" i="219"/>
  <c r="K7" i="219"/>
  <c r="J7" i="219"/>
  <c r="H7" i="219"/>
  <c r="K6" i="219"/>
  <c r="J6" i="219"/>
  <c r="H6" i="219"/>
  <c r="J202" i="230"/>
  <c r="I202" i="230"/>
  <c r="H202" i="230"/>
  <c r="G202" i="230"/>
  <c r="F202" i="230"/>
  <c r="E202" i="230"/>
  <c r="C202" i="230"/>
  <c r="J200" i="230"/>
  <c r="I200" i="230"/>
  <c r="H200" i="230"/>
  <c r="G200" i="230"/>
  <c r="F200" i="230"/>
  <c r="E200" i="230"/>
  <c r="C200" i="230"/>
  <c r="J199" i="230"/>
  <c r="I199" i="230"/>
  <c r="H199" i="230"/>
  <c r="G199" i="230"/>
  <c r="F199" i="230"/>
  <c r="E199" i="230"/>
  <c r="J198" i="230"/>
  <c r="I198" i="230"/>
  <c r="H198" i="230"/>
  <c r="J197" i="230"/>
  <c r="I197" i="230"/>
  <c r="H197" i="230"/>
  <c r="J196" i="230"/>
  <c r="I196" i="230"/>
  <c r="H196" i="230"/>
  <c r="J195" i="230"/>
  <c r="I195" i="230"/>
  <c r="H195" i="230"/>
  <c r="J194" i="230"/>
  <c r="I194" i="230"/>
  <c r="H194" i="230"/>
  <c r="J193" i="230"/>
  <c r="I193" i="230"/>
  <c r="H193" i="230"/>
  <c r="J192" i="230"/>
  <c r="I192" i="230"/>
  <c r="H192" i="230"/>
  <c r="J191" i="230"/>
  <c r="I191" i="230"/>
  <c r="H191" i="230"/>
  <c r="J190" i="230"/>
  <c r="I190" i="230"/>
  <c r="H190" i="230"/>
  <c r="J189" i="230"/>
  <c r="I189" i="230"/>
  <c r="H189" i="230"/>
  <c r="J188" i="230"/>
  <c r="I188" i="230"/>
  <c r="H188" i="230"/>
  <c r="J187" i="230"/>
  <c r="I187" i="230"/>
  <c r="H187" i="230"/>
  <c r="J186" i="230"/>
  <c r="I186" i="230"/>
  <c r="H186" i="230"/>
  <c r="J185" i="230"/>
  <c r="I185" i="230"/>
  <c r="H185" i="230"/>
  <c r="J184" i="230"/>
  <c r="I184" i="230"/>
  <c r="H184" i="230"/>
  <c r="J183" i="230"/>
  <c r="I183" i="230"/>
  <c r="H183" i="230"/>
  <c r="J182" i="230"/>
  <c r="I182" i="230"/>
  <c r="H182" i="230"/>
  <c r="J181" i="230"/>
  <c r="I181" i="230"/>
  <c r="H181" i="230"/>
  <c r="J180" i="230"/>
  <c r="I180" i="230"/>
  <c r="H180" i="230"/>
  <c r="J179" i="230"/>
  <c r="I179" i="230"/>
  <c r="H179" i="230"/>
  <c r="J178" i="230"/>
  <c r="I178" i="230"/>
  <c r="H178" i="230"/>
  <c r="J177" i="230"/>
  <c r="I177" i="230"/>
  <c r="H177" i="230"/>
  <c r="J176" i="230"/>
  <c r="I176" i="230"/>
  <c r="H176" i="230"/>
  <c r="J175" i="230"/>
  <c r="I175" i="230"/>
  <c r="H175" i="230"/>
  <c r="J174" i="230"/>
  <c r="I174" i="230"/>
  <c r="H174" i="230"/>
  <c r="J173" i="230"/>
  <c r="I173" i="230"/>
  <c r="H173" i="230"/>
  <c r="J172" i="230"/>
  <c r="I172" i="230"/>
  <c r="H172" i="230"/>
  <c r="J171" i="230"/>
  <c r="I171" i="230"/>
  <c r="H171" i="230"/>
  <c r="J170" i="230"/>
  <c r="I170" i="230"/>
  <c r="H170" i="230"/>
  <c r="J169" i="230"/>
  <c r="I169" i="230"/>
  <c r="H169" i="230"/>
  <c r="J168" i="230"/>
  <c r="I168" i="230"/>
  <c r="H168" i="230"/>
  <c r="J167" i="230"/>
  <c r="I167" i="230"/>
  <c r="H167" i="230"/>
  <c r="J166" i="230"/>
  <c r="I166" i="230"/>
  <c r="H166" i="230"/>
  <c r="J165" i="230"/>
  <c r="I165" i="230"/>
  <c r="H165" i="230"/>
  <c r="J164" i="230"/>
  <c r="I164" i="230"/>
  <c r="H164" i="230"/>
  <c r="J163" i="230"/>
  <c r="I163" i="230"/>
  <c r="H163" i="230"/>
  <c r="J162" i="230"/>
  <c r="I162" i="230"/>
  <c r="H162" i="230"/>
  <c r="J161" i="230"/>
  <c r="I161" i="230"/>
  <c r="H161" i="230"/>
  <c r="J160" i="230"/>
  <c r="I160" i="230"/>
  <c r="H160" i="230"/>
  <c r="J159" i="230"/>
  <c r="I159" i="230"/>
  <c r="H159" i="230"/>
  <c r="J158" i="230"/>
  <c r="I158" i="230"/>
  <c r="H158" i="230"/>
  <c r="J157" i="230"/>
  <c r="I157" i="230"/>
  <c r="H157" i="230"/>
  <c r="J156" i="230"/>
  <c r="I156" i="230"/>
  <c r="H156" i="230"/>
  <c r="J155" i="230"/>
  <c r="I155" i="230"/>
  <c r="H155" i="230"/>
  <c r="J154" i="230"/>
  <c r="I154" i="230"/>
  <c r="H154" i="230"/>
  <c r="J153" i="230"/>
  <c r="I153" i="230"/>
  <c r="H153" i="230"/>
  <c r="J152" i="230"/>
  <c r="I152" i="230"/>
  <c r="H152" i="230"/>
  <c r="J151" i="230"/>
  <c r="I151" i="230"/>
  <c r="H151" i="230"/>
  <c r="J150" i="230"/>
  <c r="I150" i="230"/>
  <c r="H150" i="230"/>
  <c r="J149" i="230"/>
  <c r="I149" i="230"/>
  <c r="H149" i="230"/>
  <c r="J148" i="230"/>
  <c r="I148" i="230"/>
  <c r="H148" i="230"/>
  <c r="J147" i="230"/>
  <c r="I147" i="230"/>
  <c r="H147" i="230"/>
  <c r="J146" i="230"/>
  <c r="I146" i="230"/>
  <c r="H146" i="230"/>
  <c r="J145" i="230"/>
  <c r="I145" i="230"/>
  <c r="H145" i="230"/>
  <c r="J144" i="230"/>
  <c r="I144" i="230"/>
  <c r="H144" i="230"/>
  <c r="J143" i="230"/>
  <c r="I143" i="230"/>
  <c r="H143" i="230"/>
  <c r="J142" i="230"/>
  <c r="I142" i="230"/>
  <c r="H142" i="230"/>
  <c r="J141" i="230"/>
  <c r="I141" i="230"/>
  <c r="H141" i="230"/>
  <c r="J140" i="230"/>
  <c r="I140" i="230"/>
  <c r="H140" i="230"/>
  <c r="J139" i="230"/>
  <c r="I139" i="230"/>
  <c r="H139" i="230"/>
  <c r="E139" i="230"/>
  <c r="J136" i="230"/>
  <c r="I136" i="230"/>
  <c r="H136" i="230"/>
  <c r="G136" i="230"/>
  <c r="F136" i="230"/>
  <c r="E136" i="230"/>
  <c r="J135" i="230"/>
  <c r="I135" i="230"/>
  <c r="H135" i="230"/>
  <c r="J134" i="230"/>
  <c r="I134" i="230"/>
  <c r="H134" i="230"/>
  <c r="J133" i="230"/>
  <c r="I133" i="230"/>
  <c r="H133" i="230"/>
  <c r="J132" i="230"/>
  <c r="I132" i="230"/>
  <c r="H132" i="230"/>
  <c r="J131" i="230"/>
  <c r="I131" i="230"/>
  <c r="H131" i="230"/>
  <c r="J130" i="230"/>
  <c r="I130" i="230"/>
  <c r="H130" i="230"/>
  <c r="J129" i="230"/>
  <c r="I129" i="230"/>
  <c r="H129" i="230"/>
  <c r="J128" i="230"/>
  <c r="I128" i="230"/>
  <c r="H128" i="230"/>
  <c r="J127" i="230"/>
  <c r="I127" i="230"/>
  <c r="H127" i="230"/>
  <c r="J126" i="230"/>
  <c r="I126" i="230"/>
  <c r="H126" i="230"/>
  <c r="J123" i="230"/>
  <c r="I123" i="230"/>
  <c r="H123" i="230"/>
  <c r="G123" i="230"/>
  <c r="F123" i="230"/>
  <c r="E123" i="230"/>
  <c r="I122" i="230"/>
  <c r="H122" i="230"/>
  <c r="I121" i="230"/>
  <c r="H121" i="230"/>
  <c r="J118" i="230"/>
  <c r="I118" i="230"/>
  <c r="H118" i="230"/>
  <c r="G118" i="230"/>
  <c r="F118" i="230"/>
  <c r="E118" i="230"/>
  <c r="J117" i="230"/>
  <c r="I117" i="230"/>
  <c r="H117" i="230"/>
  <c r="I116" i="230"/>
  <c r="H116" i="230"/>
  <c r="I115" i="230"/>
  <c r="H115" i="230"/>
  <c r="J112" i="230"/>
  <c r="I112" i="230"/>
  <c r="H112" i="230"/>
  <c r="G112" i="230"/>
  <c r="F112" i="230"/>
  <c r="E112" i="230"/>
  <c r="I111" i="230"/>
  <c r="H111" i="230"/>
  <c r="I110" i="230"/>
  <c r="H110" i="230"/>
  <c r="I109" i="230"/>
  <c r="H109" i="230"/>
  <c r="I108" i="230"/>
  <c r="H108" i="230"/>
  <c r="J107" i="230"/>
  <c r="I107" i="230"/>
  <c r="H107" i="230"/>
  <c r="J106" i="230"/>
  <c r="I106" i="230"/>
  <c r="H106" i="230"/>
  <c r="I105" i="230"/>
  <c r="H105" i="230"/>
  <c r="J102" i="230"/>
  <c r="I102" i="230"/>
  <c r="H102" i="230"/>
  <c r="G102" i="230"/>
  <c r="F102" i="230"/>
  <c r="E102" i="230"/>
  <c r="J101" i="230"/>
  <c r="I101" i="230"/>
  <c r="H101" i="230"/>
  <c r="J100" i="230"/>
  <c r="I100" i="230"/>
  <c r="H100" i="230"/>
  <c r="J99" i="230"/>
  <c r="I99" i="230"/>
  <c r="H99" i="230"/>
  <c r="J98" i="230"/>
  <c r="I98" i="230"/>
  <c r="H98" i="230"/>
  <c r="J97" i="230"/>
  <c r="I97" i="230"/>
  <c r="H97" i="230"/>
  <c r="J94" i="230"/>
  <c r="I94" i="230"/>
  <c r="H94" i="230"/>
  <c r="G94" i="230"/>
  <c r="F94" i="230"/>
  <c r="E94" i="230"/>
  <c r="I93" i="230"/>
  <c r="H93" i="230"/>
  <c r="I92" i="230"/>
  <c r="H92" i="230"/>
  <c r="J91" i="230"/>
  <c r="I91" i="230"/>
  <c r="H91" i="230"/>
  <c r="I90" i="230"/>
  <c r="H90" i="230"/>
  <c r="I89" i="230"/>
  <c r="H89" i="230"/>
  <c r="I88" i="230"/>
  <c r="H88" i="230"/>
  <c r="I87" i="230"/>
  <c r="H87" i="230"/>
  <c r="I86" i="230"/>
  <c r="H86" i="230"/>
  <c r="I85" i="230"/>
  <c r="H85" i="230"/>
  <c r="J84" i="230"/>
  <c r="I84" i="230"/>
  <c r="H84" i="230"/>
  <c r="E84" i="230"/>
  <c r="J81" i="230"/>
  <c r="I81" i="230"/>
  <c r="H81" i="230"/>
  <c r="G81" i="230"/>
  <c r="F81" i="230"/>
  <c r="E81" i="230"/>
  <c r="I80" i="230"/>
  <c r="H80" i="230"/>
  <c r="I79" i="230"/>
  <c r="H79" i="230"/>
  <c r="I78" i="230"/>
  <c r="H78" i="230"/>
  <c r="J77" i="230"/>
  <c r="I77" i="230"/>
  <c r="H77" i="230"/>
  <c r="I76" i="230"/>
  <c r="H76" i="230"/>
  <c r="I75" i="230"/>
  <c r="H75" i="230"/>
  <c r="J72" i="230"/>
  <c r="I72" i="230"/>
  <c r="H72" i="230"/>
  <c r="G72" i="230"/>
  <c r="F72" i="230"/>
  <c r="E72" i="230"/>
  <c r="I71" i="230"/>
  <c r="H71" i="230"/>
  <c r="I70" i="230"/>
  <c r="H70" i="230"/>
  <c r="I69" i="230"/>
  <c r="H69" i="230"/>
  <c r="I68" i="230"/>
  <c r="H68" i="230"/>
  <c r="I67" i="230"/>
  <c r="H67" i="230"/>
  <c r="I66" i="230"/>
  <c r="H66" i="230"/>
  <c r="J65" i="230"/>
  <c r="I65" i="230"/>
  <c r="H65" i="230"/>
  <c r="J62" i="230"/>
  <c r="I62" i="230"/>
  <c r="H62" i="230"/>
  <c r="G62" i="230"/>
  <c r="F62" i="230"/>
  <c r="E62" i="230"/>
  <c r="I61" i="230"/>
  <c r="H61" i="230"/>
  <c r="I60" i="230"/>
  <c r="H60" i="230"/>
  <c r="J57" i="230"/>
  <c r="I57" i="230"/>
  <c r="H57" i="230"/>
  <c r="G57" i="230"/>
  <c r="F57" i="230"/>
  <c r="E57" i="230"/>
  <c r="I56" i="230"/>
  <c r="H56" i="230"/>
  <c r="I55" i="230"/>
  <c r="H55" i="230"/>
  <c r="I54" i="230"/>
  <c r="H54" i="230"/>
  <c r="I53" i="230"/>
  <c r="H53" i="230"/>
  <c r="I52" i="230"/>
  <c r="H52" i="230"/>
  <c r="J51" i="230"/>
  <c r="I51" i="230"/>
  <c r="H51" i="230"/>
  <c r="I50" i="230"/>
  <c r="H50" i="230"/>
  <c r="I49" i="230"/>
  <c r="H49" i="230"/>
  <c r="J46" i="230"/>
  <c r="I46" i="230"/>
  <c r="H46" i="230"/>
  <c r="G46" i="230"/>
  <c r="F46" i="230"/>
  <c r="E46" i="230"/>
  <c r="I45" i="230"/>
  <c r="H45" i="230"/>
  <c r="I44" i="230"/>
  <c r="H44" i="230"/>
  <c r="I43" i="230"/>
  <c r="H43" i="230"/>
  <c r="I42" i="230"/>
  <c r="H42" i="230"/>
  <c r="J39" i="230"/>
  <c r="I39" i="230"/>
  <c r="H39" i="230"/>
  <c r="G39" i="230"/>
  <c r="F39" i="230"/>
  <c r="E39" i="230"/>
  <c r="J38" i="230"/>
  <c r="I38" i="230"/>
  <c r="H38" i="230"/>
  <c r="J37" i="230"/>
  <c r="I37" i="230"/>
  <c r="H37" i="230"/>
  <c r="J36" i="230"/>
  <c r="I36" i="230"/>
  <c r="H36" i="230"/>
  <c r="J35" i="230"/>
  <c r="I35" i="230"/>
  <c r="H35" i="230"/>
  <c r="J34" i="230"/>
  <c r="I34" i="230"/>
  <c r="H34" i="230"/>
  <c r="J33" i="230"/>
  <c r="I33" i="230"/>
  <c r="H33" i="230"/>
  <c r="J32" i="230"/>
  <c r="I32" i="230"/>
  <c r="H32" i="230"/>
  <c r="J31" i="230"/>
  <c r="I31" i="230"/>
  <c r="H31" i="230"/>
  <c r="J30" i="230"/>
  <c r="I30" i="230"/>
  <c r="H30" i="230"/>
  <c r="J29" i="230"/>
  <c r="I29" i="230"/>
  <c r="H29" i="230"/>
  <c r="J28" i="230"/>
  <c r="I28" i="230"/>
  <c r="H28" i="230"/>
  <c r="J27" i="230"/>
  <c r="I27" i="230"/>
  <c r="H27" i="230"/>
  <c r="J26" i="230"/>
  <c r="I26" i="230"/>
  <c r="H26" i="230"/>
  <c r="J25" i="230"/>
  <c r="I25" i="230"/>
  <c r="H25" i="230"/>
  <c r="J24" i="230"/>
  <c r="I24" i="230"/>
  <c r="H24" i="230"/>
  <c r="J23" i="230"/>
  <c r="I23" i="230"/>
  <c r="H23" i="230"/>
  <c r="J22" i="230"/>
  <c r="I22" i="230"/>
  <c r="H22" i="230"/>
  <c r="F22" i="230"/>
  <c r="J21" i="230"/>
  <c r="I21" i="230"/>
  <c r="H21" i="230"/>
  <c r="J20" i="230"/>
  <c r="I20" i="230"/>
  <c r="H20" i="230"/>
  <c r="J19" i="230"/>
  <c r="I19" i="230"/>
  <c r="H19" i="230"/>
  <c r="J18" i="230"/>
  <c r="I18" i="230"/>
  <c r="H18" i="230"/>
  <c r="J17" i="230"/>
  <c r="I17" i="230"/>
  <c r="H17" i="230"/>
  <c r="J16" i="230"/>
  <c r="I16" i="230"/>
  <c r="H16" i="230"/>
  <c r="J15" i="230"/>
  <c r="I15" i="230"/>
  <c r="H15" i="230"/>
  <c r="F15" i="230"/>
  <c r="J14" i="230"/>
  <c r="I14" i="230"/>
  <c r="H14" i="230"/>
  <c r="J13" i="230"/>
  <c r="I13" i="230"/>
  <c r="H13" i="230"/>
  <c r="J12" i="230"/>
  <c r="I12" i="230"/>
  <c r="H12" i="230"/>
  <c r="F12" i="230"/>
  <c r="J11" i="230"/>
  <c r="I11" i="230"/>
  <c r="H11" i="230"/>
  <c r="J10" i="230"/>
  <c r="I10" i="230"/>
  <c r="J9" i="230"/>
  <c r="I9" i="230"/>
  <c r="J8" i="230"/>
  <c r="I8" i="230"/>
  <c r="E3" i="230"/>
  <c r="AB188" i="227"/>
  <c r="AA188" i="227"/>
  <c r="Z188" i="227"/>
  <c r="X188" i="227"/>
  <c r="AB187" i="227"/>
  <c r="Z187" i="227"/>
  <c r="X187" i="227"/>
  <c r="V187" i="227"/>
  <c r="T187" i="227"/>
  <c r="S187" i="227"/>
  <c r="R187" i="227"/>
  <c r="Q187" i="227"/>
  <c r="P187" i="227"/>
  <c r="O187" i="227"/>
  <c r="N187" i="227"/>
  <c r="M187" i="227"/>
  <c r="L187" i="227"/>
  <c r="I187" i="227"/>
  <c r="E187" i="227"/>
  <c r="AB186" i="227"/>
  <c r="Z186" i="227"/>
  <c r="X186" i="227"/>
  <c r="V186" i="227"/>
  <c r="T186" i="227"/>
  <c r="S186" i="227"/>
  <c r="R186" i="227"/>
  <c r="Q186" i="227"/>
  <c r="P186" i="227"/>
  <c r="O186" i="227"/>
  <c r="N186" i="227"/>
  <c r="M186" i="227"/>
  <c r="L186" i="227"/>
  <c r="I186" i="227"/>
  <c r="E186" i="227"/>
  <c r="AB185" i="227"/>
  <c r="Z185" i="227"/>
  <c r="X185" i="227"/>
  <c r="V185" i="227"/>
  <c r="T185" i="227"/>
  <c r="S185" i="227"/>
  <c r="R185" i="227"/>
  <c r="Q185" i="227"/>
  <c r="P185" i="227"/>
  <c r="O185" i="227"/>
  <c r="N185" i="227"/>
  <c r="M185" i="227"/>
  <c r="L185" i="227"/>
  <c r="I185" i="227"/>
  <c r="E185" i="227"/>
  <c r="AB184" i="227"/>
  <c r="Z184" i="227"/>
  <c r="X184" i="227"/>
  <c r="V184" i="227"/>
  <c r="T184" i="227"/>
  <c r="S184" i="227"/>
  <c r="R184" i="227"/>
  <c r="Q184" i="227"/>
  <c r="P184" i="227"/>
  <c r="O184" i="227"/>
  <c r="N184" i="227"/>
  <c r="M184" i="227"/>
  <c r="L184" i="227"/>
  <c r="I184" i="227"/>
  <c r="E184" i="227"/>
  <c r="AB183" i="227"/>
  <c r="Z183" i="227"/>
  <c r="X183" i="227"/>
  <c r="V183" i="227"/>
  <c r="T183" i="227"/>
  <c r="S183" i="227"/>
  <c r="R183" i="227"/>
  <c r="Q183" i="227"/>
  <c r="P183" i="227"/>
  <c r="O183" i="227"/>
  <c r="N183" i="227"/>
  <c r="M183" i="227"/>
  <c r="L183" i="227"/>
  <c r="I183" i="227"/>
  <c r="E183" i="227"/>
  <c r="AB182" i="227"/>
  <c r="Z182" i="227"/>
  <c r="X182" i="227"/>
  <c r="V182" i="227"/>
  <c r="T182" i="227"/>
  <c r="S182" i="227"/>
  <c r="R182" i="227"/>
  <c r="Q182" i="227"/>
  <c r="P182" i="227"/>
  <c r="O182" i="227"/>
  <c r="N182" i="227"/>
  <c r="M182" i="227"/>
  <c r="L182" i="227"/>
  <c r="I182" i="227"/>
  <c r="E182" i="227"/>
  <c r="AB181" i="227"/>
  <c r="Z181" i="227"/>
  <c r="X181" i="227"/>
  <c r="V181" i="227"/>
  <c r="T181" i="227"/>
  <c r="S181" i="227"/>
  <c r="R181" i="227"/>
  <c r="Q181" i="227"/>
  <c r="P181" i="227"/>
  <c r="O181" i="227"/>
  <c r="N181" i="227"/>
  <c r="M181" i="227"/>
  <c r="L181" i="227"/>
  <c r="I181" i="227"/>
  <c r="E181" i="227"/>
  <c r="AB180" i="227"/>
  <c r="Z180" i="227"/>
  <c r="X180" i="227"/>
  <c r="V180" i="227"/>
  <c r="T180" i="227"/>
  <c r="S180" i="227"/>
  <c r="R180" i="227"/>
  <c r="Q180" i="227"/>
  <c r="P180" i="227"/>
  <c r="O180" i="227"/>
  <c r="N180" i="227"/>
  <c r="M180" i="227"/>
  <c r="L180" i="227"/>
  <c r="I180" i="227"/>
  <c r="E180" i="227"/>
  <c r="AB179" i="227"/>
  <c r="Z179" i="227"/>
  <c r="X179" i="227"/>
  <c r="V179" i="227"/>
  <c r="T179" i="227"/>
  <c r="S179" i="227"/>
  <c r="R179" i="227"/>
  <c r="Q179" i="227"/>
  <c r="P179" i="227"/>
  <c r="O179" i="227"/>
  <c r="N179" i="227"/>
  <c r="M179" i="227"/>
  <c r="L179" i="227"/>
  <c r="I179" i="227"/>
  <c r="E179" i="227"/>
  <c r="Z178" i="227"/>
  <c r="X178" i="227"/>
  <c r="V178" i="227"/>
  <c r="T178" i="227"/>
  <c r="S178" i="227"/>
  <c r="R178" i="227"/>
  <c r="Q178" i="227"/>
  <c r="P178" i="227"/>
  <c r="O178" i="227"/>
  <c r="N178" i="227"/>
  <c r="AB177" i="227"/>
  <c r="Z177" i="227"/>
  <c r="X177" i="227"/>
  <c r="V177" i="227"/>
  <c r="T177" i="227"/>
  <c r="S177" i="227"/>
  <c r="R177" i="227"/>
  <c r="Q177" i="227"/>
  <c r="P177" i="227"/>
  <c r="O177" i="227"/>
  <c r="N177" i="227"/>
  <c r="M177" i="227"/>
  <c r="L177" i="227"/>
  <c r="I177" i="227"/>
  <c r="E177" i="227"/>
  <c r="AB176" i="227"/>
  <c r="Z176" i="227"/>
  <c r="X176" i="227"/>
  <c r="V176" i="227"/>
  <c r="U176" i="227"/>
  <c r="T176" i="227"/>
  <c r="S176" i="227"/>
  <c r="R176" i="227"/>
  <c r="Q176" i="227"/>
  <c r="P176" i="227"/>
  <c r="O176" i="227"/>
  <c r="N176" i="227"/>
  <c r="M176" i="227"/>
  <c r="L176" i="227"/>
  <c r="I176" i="227"/>
  <c r="E176" i="227"/>
  <c r="AB175" i="227"/>
  <c r="Z175" i="227"/>
  <c r="X175" i="227"/>
  <c r="V175" i="227"/>
  <c r="T175" i="227"/>
  <c r="S175" i="227"/>
  <c r="R175" i="227"/>
  <c r="Q175" i="227"/>
  <c r="P175" i="227"/>
  <c r="O175" i="227"/>
  <c r="N175" i="227"/>
  <c r="M175" i="227"/>
  <c r="L175" i="227"/>
  <c r="I175" i="227"/>
  <c r="E175" i="227"/>
  <c r="AB174" i="227"/>
  <c r="Z174" i="227"/>
  <c r="X174" i="227"/>
  <c r="V174" i="227"/>
  <c r="T174" i="227"/>
  <c r="S174" i="227"/>
  <c r="R174" i="227"/>
  <c r="Q174" i="227"/>
  <c r="P174" i="227"/>
  <c r="O174" i="227"/>
  <c r="N174" i="227"/>
  <c r="M174" i="227"/>
  <c r="L174" i="227"/>
  <c r="I174" i="227"/>
  <c r="E174" i="227"/>
  <c r="AB173" i="227"/>
  <c r="Z173" i="227"/>
  <c r="X173" i="227"/>
  <c r="V173" i="227"/>
  <c r="T173" i="227"/>
  <c r="S173" i="227"/>
  <c r="R173" i="227"/>
  <c r="Q173" i="227"/>
  <c r="P173" i="227"/>
  <c r="O173" i="227"/>
  <c r="N173" i="227"/>
  <c r="M173" i="227"/>
  <c r="L173" i="227"/>
  <c r="I173" i="227"/>
  <c r="E173" i="227"/>
  <c r="AB172" i="227"/>
  <c r="Z172" i="227"/>
  <c r="X172" i="227"/>
  <c r="V172" i="227"/>
  <c r="T172" i="227"/>
  <c r="S172" i="227"/>
  <c r="R172" i="227"/>
  <c r="Q172" i="227"/>
  <c r="P172" i="227"/>
  <c r="O172" i="227"/>
  <c r="N172" i="227"/>
  <c r="M172" i="227"/>
  <c r="L172" i="227"/>
  <c r="I172" i="227"/>
  <c r="E172" i="227"/>
  <c r="AB171" i="227"/>
  <c r="Z171" i="227"/>
  <c r="X171" i="227"/>
  <c r="V171" i="227"/>
  <c r="T171" i="227"/>
  <c r="S171" i="227"/>
  <c r="R171" i="227"/>
  <c r="Q171" i="227"/>
  <c r="P171" i="227"/>
  <c r="O171" i="227"/>
  <c r="N171" i="227"/>
  <c r="M171" i="227"/>
  <c r="L171" i="227"/>
  <c r="I171" i="227"/>
  <c r="E171" i="227"/>
  <c r="AB170" i="227"/>
  <c r="Z170" i="227"/>
  <c r="X170" i="227"/>
  <c r="V170" i="227"/>
  <c r="T170" i="227"/>
  <c r="S170" i="227"/>
  <c r="R170" i="227"/>
  <c r="Q170" i="227"/>
  <c r="P170" i="227"/>
  <c r="O170" i="227"/>
  <c r="N170" i="227"/>
  <c r="M170" i="227"/>
  <c r="L170" i="227"/>
  <c r="I170" i="227"/>
  <c r="E170" i="227"/>
  <c r="AB169" i="227"/>
  <c r="Z169" i="227"/>
  <c r="X169" i="227"/>
  <c r="V169" i="227"/>
  <c r="T169" i="227"/>
  <c r="S169" i="227"/>
  <c r="R169" i="227"/>
  <c r="Q169" i="227"/>
  <c r="P169" i="227"/>
  <c r="O169" i="227"/>
  <c r="N169" i="227"/>
  <c r="M169" i="227"/>
  <c r="L169" i="227"/>
  <c r="I169" i="227"/>
  <c r="E169" i="227"/>
  <c r="AB168" i="227"/>
  <c r="Z168" i="227"/>
  <c r="X168" i="227"/>
  <c r="V168" i="227"/>
  <c r="T168" i="227"/>
  <c r="S168" i="227"/>
  <c r="R168" i="227"/>
  <c r="Q168" i="227"/>
  <c r="P168" i="227"/>
  <c r="O168" i="227"/>
  <c r="N168" i="227"/>
  <c r="M168" i="227"/>
  <c r="L168" i="227"/>
  <c r="I168" i="227"/>
  <c r="E168" i="227"/>
  <c r="AB167" i="227"/>
  <c r="Z167" i="227"/>
  <c r="X167" i="227"/>
  <c r="V167" i="227"/>
  <c r="T167" i="227"/>
  <c r="S167" i="227"/>
  <c r="R167" i="227"/>
  <c r="Q167" i="227"/>
  <c r="P167" i="227"/>
  <c r="O167" i="227"/>
  <c r="N167" i="227"/>
  <c r="M167" i="227"/>
  <c r="L167" i="227"/>
  <c r="I167" i="227"/>
  <c r="E167" i="227"/>
  <c r="AB166" i="227"/>
  <c r="Z166" i="227"/>
  <c r="X166" i="227"/>
  <c r="V166" i="227"/>
  <c r="T166" i="227"/>
  <c r="S166" i="227"/>
  <c r="R166" i="227"/>
  <c r="Q166" i="227"/>
  <c r="P166" i="227"/>
  <c r="O166" i="227"/>
  <c r="N166" i="227"/>
  <c r="M166" i="227"/>
  <c r="L166" i="227"/>
  <c r="I166" i="227"/>
  <c r="E166" i="227"/>
  <c r="AB165" i="227"/>
  <c r="Z165" i="227"/>
  <c r="X165" i="227"/>
  <c r="V165" i="227"/>
  <c r="T165" i="227"/>
  <c r="S165" i="227"/>
  <c r="R165" i="227"/>
  <c r="Q165" i="227"/>
  <c r="P165" i="227"/>
  <c r="O165" i="227"/>
  <c r="N165" i="227"/>
  <c r="M165" i="227"/>
  <c r="L165" i="227"/>
  <c r="I165" i="227"/>
  <c r="E165" i="227"/>
  <c r="AB164" i="227"/>
  <c r="Z164" i="227"/>
  <c r="X164" i="227"/>
  <c r="V164" i="227"/>
  <c r="T164" i="227"/>
  <c r="S164" i="227"/>
  <c r="R164" i="227"/>
  <c r="Q164" i="227"/>
  <c r="P164" i="227"/>
  <c r="O164" i="227"/>
  <c r="N164" i="227"/>
  <c r="M164" i="227"/>
  <c r="L164" i="227"/>
  <c r="I164" i="227"/>
  <c r="E164" i="227"/>
  <c r="AB163" i="227"/>
  <c r="Z163" i="227"/>
  <c r="X163" i="227"/>
  <c r="V163" i="227"/>
  <c r="T163" i="227"/>
  <c r="S163" i="227"/>
  <c r="R163" i="227"/>
  <c r="Q163" i="227"/>
  <c r="P163" i="227"/>
  <c r="O163" i="227"/>
  <c r="N163" i="227"/>
  <c r="M163" i="227"/>
  <c r="L163" i="227"/>
  <c r="I163" i="227"/>
  <c r="E163" i="227"/>
  <c r="AB162" i="227"/>
  <c r="Z162" i="227"/>
  <c r="X162" i="227"/>
  <c r="V162" i="227"/>
  <c r="T162" i="227"/>
  <c r="S162" i="227"/>
  <c r="R162" i="227"/>
  <c r="Q162" i="227"/>
  <c r="P162" i="227"/>
  <c r="O162" i="227"/>
  <c r="N162" i="227"/>
  <c r="M162" i="227"/>
  <c r="L162" i="227"/>
  <c r="I162" i="227"/>
  <c r="E162" i="227"/>
  <c r="AB161" i="227"/>
  <c r="Z161" i="227"/>
  <c r="X161" i="227"/>
  <c r="V161" i="227"/>
  <c r="T161" i="227"/>
  <c r="S161" i="227"/>
  <c r="R161" i="227"/>
  <c r="Q161" i="227"/>
  <c r="P161" i="227"/>
  <c r="O161" i="227"/>
  <c r="N161" i="227"/>
  <c r="M161" i="227"/>
  <c r="L161" i="227"/>
  <c r="I161" i="227"/>
  <c r="E161" i="227"/>
  <c r="AB160" i="227"/>
  <c r="Z160" i="227"/>
  <c r="X160" i="227"/>
  <c r="V160" i="227"/>
  <c r="T160" i="227"/>
  <c r="S160" i="227"/>
  <c r="R160" i="227"/>
  <c r="Q160" i="227"/>
  <c r="P160" i="227"/>
  <c r="O160" i="227"/>
  <c r="N160" i="227"/>
  <c r="M160" i="227"/>
  <c r="L160" i="227"/>
  <c r="I160" i="227"/>
  <c r="E160" i="227"/>
  <c r="AB159" i="227"/>
  <c r="Z159" i="227"/>
  <c r="X159" i="227"/>
  <c r="V159" i="227"/>
  <c r="T159" i="227"/>
  <c r="S159" i="227"/>
  <c r="R159" i="227"/>
  <c r="Q159" i="227"/>
  <c r="P159" i="227"/>
  <c r="O159" i="227"/>
  <c r="N159" i="227"/>
  <c r="M159" i="227"/>
  <c r="L159" i="227"/>
  <c r="I159" i="227"/>
  <c r="E159" i="227"/>
  <c r="AB158" i="227"/>
  <c r="Z158" i="227"/>
  <c r="X158" i="227"/>
  <c r="V158" i="227"/>
  <c r="T158" i="227"/>
  <c r="S158" i="227"/>
  <c r="R158" i="227"/>
  <c r="Q158" i="227"/>
  <c r="P158" i="227"/>
  <c r="O158" i="227"/>
  <c r="N158" i="227"/>
  <c r="M158" i="227"/>
  <c r="L158" i="227"/>
  <c r="I158" i="227"/>
  <c r="E158" i="227"/>
  <c r="AB157" i="227"/>
  <c r="Z157" i="227"/>
  <c r="X157" i="227"/>
  <c r="V157" i="227"/>
  <c r="T157" i="227"/>
  <c r="S157" i="227"/>
  <c r="R157" i="227"/>
  <c r="Q157" i="227"/>
  <c r="P157" i="227"/>
  <c r="O157" i="227"/>
  <c r="N157" i="227"/>
  <c r="M157" i="227"/>
  <c r="L157" i="227"/>
  <c r="I157" i="227"/>
  <c r="E157" i="227"/>
  <c r="AB156" i="227"/>
  <c r="Z156" i="227"/>
  <c r="X156" i="227"/>
  <c r="V156" i="227"/>
  <c r="T156" i="227"/>
  <c r="S156" i="227"/>
  <c r="R156" i="227"/>
  <c r="Q156" i="227"/>
  <c r="P156" i="227"/>
  <c r="O156" i="227"/>
  <c r="N156" i="227"/>
  <c r="M156" i="227"/>
  <c r="L156" i="227"/>
  <c r="I156" i="227"/>
  <c r="E156" i="227"/>
  <c r="AB155" i="227"/>
  <c r="Z155" i="227"/>
  <c r="X155" i="227"/>
  <c r="V155" i="227"/>
  <c r="T155" i="227"/>
  <c r="S155" i="227"/>
  <c r="R155" i="227"/>
  <c r="Q155" i="227"/>
  <c r="P155" i="227"/>
  <c r="O155" i="227"/>
  <c r="N155" i="227"/>
  <c r="M155" i="227"/>
  <c r="L155" i="227"/>
  <c r="I155" i="227"/>
  <c r="E155" i="227"/>
  <c r="AB154" i="227"/>
  <c r="Z154" i="227"/>
  <c r="X154" i="227"/>
  <c r="V154" i="227"/>
  <c r="T154" i="227"/>
  <c r="S154" i="227"/>
  <c r="R154" i="227"/>
  <c r="Q154" i="227"/>
  <c r="P154" i="227"/>
  <c r="O154" i="227"/>
  <c r="N154" i="227"/>
  <c r="M154" i="227"/>
  <c r="L154" i="227"/>
  <c r="I154" i="227"/>
  <c r="E154" i="227"/>
  <c r="AB153" i="227"/>
  <c r="Z153" i="227"/>
  <c r="X153" i="227"/>
  <c r="V153" i="227"/>
  <c r="T153" i="227"/>
  <c r="S153" i="227"/>
  <c r="R153" i="227"/>
  <c r="Q153" i="227"/>
  <c r="P153" i="227"/>
  <c r="O153" i="227"/>
  <c r="N153" i="227"/>
  <c r="M153" i="227"/>
  <c r="L153" i="227"/>
  <c r="I153" i="227"/>
  <c r="E153" i="227"/>
  <c r="AB152" i="227"/>
  <c r="Z152" i="227"/>
  <c r="X152" i="227"/>
  <c r="V152" i="227"/>
  <c r="T152" i="227"/>
  <c r="S152" i="227"/>
  <c r="R152" i="227"/>
  <c r="Q152" i="227"/>
  <c r="P152" i="227"/>
  <c r="O152" i="227"/>
  <c r="N152" i="227"/>
  <c r="M152" i="227"/>
  <c r="L152" i="227"/>
  <c r="I152" i="227"/>
  <c r="E152" i="227"/>
  <c r="AB151" i="227"/>
  <c r="Z151" i="227"/>
  <c r="X151" i="227"/>
  <c r="V151" i="227"/>
  <c r="T151" i="227"/>
  <c r="S151" i="227"/>
  <c r="R151" i="227"/>
  <c r="Q151" i="227"/>
  <c r="P151" i="227"/>
  <c r="O151" i="227"/>
  <c r="N151" i="227"/>
  <c r="M151" i="227"/>
  <c r="L151" i="227"/>
  <c r="I151" i="227"/>
  <c r="E151" i="227"/>
  <c r="AB150" i="227"/>
  <c r="Z150" i="227"/>
  <c r="X150" i="227"/>
  <c r="V150" i="227"/>
  <c r="T150" i="227"/>
  <c r="S150" i="227"/>
  <c r="R150" i="227"/>
  <c r="Q150" i="227"/>
  <c r="P150" i="227"/>
  <c r="O150" i="227"/>
  <c r="N150" i="227"/>
  <c r="M150" i="227"/>
  <c r="L150" i="227"/>
  <c r="I150" i="227"/>
  <c r="E150" i="227"/>
  <c r="AB149" i="227"/>
  <c r="Z149" i="227"/>
  <c r="X149" i="227"/>
  <c r="V149" i="227"/>
  <c r="T149" i="227"/>
  <c r="S149" i="227"/>
  <c r="R149" i="227"/>
  <c r="Q149" i="227"/>
  <c r="P149" i="227"/>
  <c r="O149" i="227"/>
  <c r="N149" i="227"/>
  <c r="M149" i="227"/>
  <c r="L149" i="227"/>
  <c r="I149" i="227"/>
  <c r="E149" i="227"/>
  <c r="AB148" i="227"/>
  <c r="Z148" i="227"/>
  <c r="X148" i="227"/>
  <c r="V148" i="227"/>
  <c r="U148" i="227"/>
  <c r="T148" i="227"/>
  <c r="S148" i="227"/>
  <c r="R148" i="227"/>
  <c r="Q148" i="227"/>
  <c r="P148" i="227"/>
  <c r="O148" i="227"/>
  <c r="N148" i="227"/>
  <c r="M148" i="227"/>
  <c r="L148" i="227"/>
  <c r="I148" i="227"/>
  <c r="E148" i="227"/>
  <c r="AB147" i="227"/>
  <c r="Z147" i="227"/>
  <c r="X147" i="227"/>
  <c r="V147" i="227"/>
  <c r="U147" i="227"/>
  <c r="T147" i="227"/>
  <c r="S147" i="227"/>
  <c r="R147" i="227"/>
  <c r="Q147" i="227"/>
  <c r="P147" i="227"/>
  <c r="O147" i="227"/>
  <c r="N147" i="227"/>
  <c r="M147" i="227"/>
  <c r="L147" i="227"/>
  <c r="I147" i="227"/>
  <c r="E147" i="227"/>
  <c r="AB146" i="227"/>
  <c r="Z146" i="227"/>
  <c r="X146" i="227"/>
  <c r="V146" i="227"/>
  <c r="U146" i="227"/>
  <c r="T146" i="227"/>
  <c r="S146" i="227"/>
  <c r="R146" i="227"/>
  <c r="Q146" i="227"/>
  <c r="P146" i="227"/>
  <c r="O146" i="227"/>
  <c r="N146" i="227"/>
  <c r="M146" i="227"/>
  <c r="L146" i="227"/>
  <c r="I146" i="227"/>
  <c r="E146" i="227"/>
  <c r="AB145" i="227"/>
  <c r="Z145" i="227"/>
  <c r="X145" i="227"/>
  <c r="V145" i="227"/>
  <c r="U145" i="227"/>
  <c r="T145" i="227"/>
  <c r="S145" i="227"/>
  <c r="R145" i="227"/>
  <c r="Q145" i="227"/>
  <c r="P145" i="227"/>
  <c r="O145" i="227"/>
  <c r="N145" i="227"/>
  <c r="M145" i="227"/>
  <c r="L145" i="227"/>
  <c r="I145" i="227"/>
  <c r="E145" i="227"/>
  <c r="AB144" i="227"/>
  <c r="Z144" i="227"/>
  <c r="X144" i="227"/>
  <c r="V144" i="227"/>
  <c r="U144" i="227"/>
  <c r="T144" i="227"/>
  <c r="S144" i="227"/>
  <c r="R144" i="227"/>
  <c r="Q144" i="227"/>
  <c r="P144" i="227"/>
  <c r="O144" i="227"/>
  <c r="N144" i="227"/>
  <c r="M144" i="227"/>
  <c r="L144" i="227"/>
  <c r="I144" i="227"/>
  <c r="E144" i="227"/>
  <c r="AB143" i="227"/>
  <c r="Z143" i="227"/>
  <c r="X143" i="227"/>
  <c r="V143" i="227"/>
  <c r="U143" i="227"/>
  <c r="T143" i="227"/>
  <c r="S143" i="227"/>
  <c r="R143" i="227"/>
  <c r="Q143" i="227"/>
  <c r="P143" i="227"/>
  <c r="O143" i="227"/>
  <c r="N143" i="227"/>
  <c r="M143" i="227"/>
  <c r="L143" i="227"/>
  <c r="I143" i="227"/>
  <c r="E143" i="227"/>
  <c r="AB142" i="227"/>
  <c r="Z142" i="227"/>
  <c r="X142" i="227"/>
  <c r="V142" i="227"/>
  <c r="U142" i="227"/>
  <c r="T142" i="227"/>
  <c r="S142" i="227"/>
  <c r="R142" i="227"/>
  <c r="Q142" i="227"/>
  <c r="P142" i="227"/>
  <c r="O142" i="227"/>
  <c r="N142" i="227"/>
  <c r="M142" i="227"/>
  <c r="L142" i="227"/>
  <c r="I142" i="227"/>
  <c r="E142" i="227"/>
  <c r="AB141" i="227"/>
  <c r="Z141" i="227"/>
  <c r="X141" i="227"/>
  <c r="V141" i="227"/>
  <c r="U141" i="227"/>
  <c r="T141" i="227"/>
  <c r="S141" i="227"/>
  <c r="R141" i="227"/>
  <c r="Q141" i="227"/>
  <c r="P141" i="227"/>
  <c r="O141" i="227"/>
  <c r="N141" i="227"/>
  <c r="M141" i="227"/>
  <c r="L141" i="227"/>
  <c r="I141" i="227"/>
  <c r="E141" i="227"/>
  <c r="AB140" i="227"/>
  <c r="Z140" i="227"/>
  <c r="X140" i="227"/>
  <c r="V140" i="227"/>
  <c r="U140" i="227"/>
  <c r="T140" i="227"/>
  <c r="S140" i="227"/>
  <c r="R140" i="227"/>
  <c r="Q140" i="227"/>
  <c r="P140" i="227"/>
  <c r="O140" i="227"/>
  <c r="N140" i="227"/>
  <c r="M140" i="227"/>
  <c r="L140" i="227"/>
  <c r="I140" i="227"/>
  <c r="E140" i="227"/>
  <c r="AB139" i="227"/>
  <c r="Z139" i="227"/>
  <c r="X139" i="227"/>
  <c r="V139" i="227"/>
  <c r="U139" i="227"/>
  <c r="T139" i="227"/>
  <c r="S139" i="227"/>
  <c r="R139" i="227"/>
  <c r="Q139" i="227"/>
  <c r="P139" i="227"/>
  <c r="O139" i="227"/>
  <c r="N139" i="227"/>
  <c r="M139" i="227"/>
  <c r="L139" i="227"/>
  <c r="I139" i="227"/>
  <c r="E139" i="227"/>
  <c r="AB138" i="227"/>
  <c r="Z138" i="227"/>
  <c r="X138" i="227"/>
  <c r="V138" i="227"/>
  <c r="U138" i="227"/>
  <c r="T138" i="227"/>
  <c r="S138" i="227"/>
  <c r="R138" i="227"/>
  <c r="Q138" i="227"/>
  <c r="P138" i="227"/>
  <c r="O138" i="227"/>
  <c r="N138" i="227"/>
  <c r="M138" i="227"/>
  <c r="L138" i="227"/>
  <c r="I138" i="227"/>
  <c r="E138" i="227"/>
  <c r="AB137" i="227"/>
  <c r="Z137" i="227"/>
  <c r="X137" i="227"/>
  <c r="V137" i="227"/>
  <c r="U137" i="227"/>
  <c r="T137" i="227"/>
  <c r="S137" i="227"/>
  <c r="R137" i="227"/>
  <c r="Q137" i="227"/>
  <c r="P137" i="227"/>
  <c r="O137" i="227"/>
  <c r="N137" i="227"/>
  <c r="M137" i="227"/>
  <c r="L137" i="227"/>
  <c r="I137" i="227"/>
  <c r="E137" i="227"/>
  <c r="AB136" i="227"/>
  <c r="Z136" i="227"/>
  <c r="X136" i="227"/>
  <c r="V136" i="227"/>
  <c r="U136" i="227"/>
  <c r="T136" i="227"/>
  <c r="S136" i="227"/>
  <c r="R136" i="227"/>
  <c r="Q136" i="227"/>
  <c r="P136" i="227"/>
  <c r="O136" i="227"/>
  <c r="N136" i="227"/>
  <c r="M136" i="227"/>
  <c r="L136" i="227"/>
  <c r="I136" i="227"/>
  <c r="E136" i="227"/>
  <c r="AB135" i="227"/>
  <c r="Z135" i="227"/>
  <c r="X135" i="227"/>
  <c r="V135" i="227"/>
  <c r="U135" i="227"/>
  <c r="T135" i="227"/>
  <c r="S135" i="227"/>
  <c r="R135" i="227"/>
  <c r="Q135" i="227"/>
  <c r="P135" i="227"/>
  <c r="O135" i="227"/>
  <c r="N135" i="227"/>
  <c r="M135" i="227"/>
  <c r="L135" i="227"/>
  <c r="I135" i="227"/>
  <c r="E135" i="227"/>
  <c r="AB134" i="227"/>
  <c r="Z134" i="227"/>
  <c r="X134" i="227"/>
  <c r="V134" i="227"/>
  <c r="U134" i="227"/>
  <c r="T134" i="227"/>
  <c r="S134" i="227"/>
  <c r="R134" i="227"/>
  <c r="Q134" i="227"/>
  <c r="P134" i="227"/>
  <c r="O134" i="227"/>
  <c r="N134" i="227"/>
  <c r="M134" i="227"/>
  <c r="L134" i="227"/>
  <c r="I134" i="227"/>
  <c r="E134" i="227"/>
  <c r="AB133" i="227"/>
  <c r="Z133" i="227"/>
  <c r="X133" i="227"/>
  <c r="V133" i="227"/>
  <c r="U133" i="227"/>
  <c r="T133" i="227"/>
  <c r="S133" i="227"/>
  <c r="R133" i="227"/>
  <c r="Q133" i="227"/>
  <c r="P133" i="227"/>
  <c r="O133" i="227"/>
  <c r="N133" i="227"/>
  <c r="M133" i="227"/>
  <c r="L133" i="227"/>
  <c r="I133" i="227"/>
  <c r="E133" i="227"/>
  <c r="AB132" i="227"/>
  <c r="Z132" i="227"/>
  <c r="X132" i="227"/>
  <c r="V132" i="227"/>
  <c r="U132" i="227"/>
  <c r="T132" i="227"/>
  <c r="S132" i="227"/>
  <c r="R132" i="227"/>
  <c r="Q132" i="227"/>
  <c r="P132" i="227"/>
  <c r="O132" i="227"/>
  <c r="N132" i="227"/>
  <c r="M132" i="227"/>
  <c r="L132" i="227"/>
  <c r="I132" i="227"/>
  <c r="E132" i="227"/>
  <c r="AB131" i="227"/>
  <c r="Z131" i="227"/>
  <c r="X131" i="227"/>
  <c r="V131" i="227"/>
  <c r="U131" i="227"/>
  <c r="T131" i="227"/>
  <c r="S131" i="227"/>
  <c r="R131" i="227"/>
  <c r="Q131" i="227"/>
  <c r="P131" i="227"/>
  <c r="O131" i="227"/>
  <c r="N131" i="227"/>
  <c r="M131" i="227"/>
  <c r="L131" i="227"/>
  <c r="I131" i="227"/>
  <c r="E131" i="227"/>
  <c r="AB130" i="227"/>
  <c r="Z130" i="227"/>
  <c r="X130" i="227"/>
  <c r="V130" i="227"/>
  <c r="U130" i="227"/>
  <c r="T130" i="227"/>
  <c r="S130" i="227"/>
  <c r="R130" i="227"/>
  <c r="Q130" i="227"/>
  <c r="P130" i="227"/>
  <c r="O130" i="227"/>
  <c r="N130" i="227"/>
  <c r="M130" i="227"/>
  <c r="L130" i="227"/>
  <c r="I130" i="227"/>
  <c r="E130" i="227"/>
  <c r="AB129" i="227"/>
  <c r="Z129" i="227"/>
  <c r="X129" i="227"/>
  <c r="V129" i="227"/>
  <c r="U129" i="227"/>
  <c r="T129" i="227"/>
  <c r="S129" i="227"/>
  <c r="R129" i="227"/>
  <c r="Q129" i="227"/>
  <c r="P129" i="227"/>
  <c r="O129" i="227"/>
  <c r="N129" i="227"/>
  <c r="M129" i="227"/>
  <c r="L129" i="227"/>
  <c r="I129" i="227"/>
  <c r="E129" i="227"/>
  <c r="AB128" i="227"/>
  <c r="Z128" i="227"/>
  <c r="X128" i="227"/>
  <c r="V128" i="227"/>
  <c r="U128" i="227"/>
  <c r="T128" i="227"/>
  <c r="S128" i="227"/>
  <c r="R128" i="227"/>
  <c r="Q128" i="227"/>
  <c r="P128" i="227"/>
  <c r="O128" i="227"/>
  <c r="N128" i="227"/>
  <c r="M128" i="227"/>
  <c r="L128" i="227"/>
  <c r="I128" i="227"/>
  <c r="E128" i="227"/>
  <c r="AB124" i="227"/>
  <c r="Z124" i="227"/>
  <c r="X124" i="227"/>
  <c r="V124" i="227"/>
  <c r="T124" i="227"/>
  <c r="S124" i="227"/>
  <c r="R124" i="227"/>
  <c r="Q124" i="227"/>
  <c r="P124" i="227"/>
  <c r="O124" i="227"/>
  <c r="N124" i="227"/>
  <c r="M124" i="227"/>
  <c r="L124" i="227"/>
  <c r="I124" i="227"/>
  <c r="E124" i="227"/>
  <c r="AB123" i="227"/>
  <c r="Z123" i="227"/>
  <c r="X123" i="227"/>
  <c r="V123" i="227"/>
  <c r="T123" i="227"/>
  <c r="S123" i="227"/>
  <c r="R123" i="227"/>
  <c r="Q123" i="227"/>
  <c r="P123" i="227"/>
  <c r="O123" i="227"/>
  <c r="N123" i="227"/>
  <c r="M123" i="227"/>
  <c r="L123" i="227"/>
  <c r="I123" i="227"/>
  <c r="E123" i="227"/>
  <c r="AB122" i="227"/>
  <c r="Z122" i="227"/>
  <c r="X122" i="227"/>
  <c r="V122" i="227"/>
  <c r="T122" i="227"/>
  <c r="S122" i="227"/>
  <c r="R122" i="227"/>
  <c r="Q122" i="227"/>
  <c r="P122" i="227"/>
  <c r="O122" i="227"/>
  <c r="N122" i="227"/>
  <c r="M122" i="227"/>
  <c r="L122" i="227"/>
  <c r="I122" i="227"/>
  <c r="E122" i="227"/>
  <c r="AB121" i="227"/>
  <c r="Z121" i="227"/>
  <c r="X121" i="227"/>
  <c r="V121" i="227"/>
  <c r="U121" i="227"/>
  <c r="T121" i="227"/>
  <c r="S121" i="227"/>
  <c r="R121" i="227"/>
  <c r="Q121" i="227"/>
  <c r="P121" i="227"/>
  <c r="O121" i="227"/>
  <c r="N121" i="227"/>
  <c r="M121" i="227"/>
  <c r="L121" i="227"/>
  <c r="I121" i="227"/>
  <c r="E121" i="227"/>
  <c r="AB120" i="227"/>
  <c r="Z120" i="227"/>
  <c r="X120" i="227"/>
  <c r="V120" i="227"/>
  <c r="U120" i="227"/>
  <c r="T120" i="227"/>
  <c r="S120" i="227"/>
  <c r="R120" i="227"/>
  <c r="Q120" i="227"/>
  <c r="P120" i="227"/>
  <c r="O120" i="227"/>
  <c r="N120" i="227"/>
  <c r="M120" i="227"/>
  <c r="L120" i="227"/>
  <c r="I120" i="227"/>
  <c r="E120" i="227"/>
  <c r="AB119" i="227"/>
  <c r="Z119" i="227"/>
  <c r="X119" i="227"/>
  <c r="V119" i="227"/>
  <c r="U119" i="227"/>
  <c r="T119" i="227"/>
  <c r="S119" i="227"/>
  <c r="R119" i="227"/>
  <c r="Q119" i="227"/>
  <c r="P119" i="227"/>
  <c r="O119" i="227"/>
  <c r="N119" i="227"/>
  <c r="M119" i="227"/>
  <c r="L119" i="227"/>
  <c r="I119" i="227"/>
  <c r="E119" i="227"/>
  <c r="AB118" i="227"/>
  <c r="Z118" i="227"/>
  <c r="X118" i="227"/>
  <c r="V118" i="227"/>
  <c r="U118" i="227"/>
  <c r="T118" i="227"/>
  <c r="S118" i="227"/>
  <c r="R118" i="227"/>
  <c r="Q118" i="227"/>
  <c r="P118" i="227"/>
  <c r="O118" i="227"/>
  <c r="N118" i="227"/>
  <c r="M118" i="227"/>
  <c r="L118" i="227"/>
  <c r="I118" i="227"/>
  <c r="E118" i="227"/>
  <c r="AB117" i="227"/>
  <c r="Z117" i="227"/>
  <c r="X117" i="227"/>
  <c r="V117" i="227"/>
  <c r="U117" i="227"/>
  <c r="T117" i="227"/>
  <c r="S117" i="227"/>
  <c r="R117" i="227"/>
  <c r="Q117" i="227"/>
  <c r="P117" i="227"/>
  <c r="O117" i="227"/>
  <c r="N117" i="227"/>
  <c r="M117" i="227"/>
  <c r="L117" i="227"/>
  <c r="I117" i="227"/>
  <c r="E117" i="227"/>
  <c r="AB116" i="227"/>
  <c r="Z116" i="227"/>
  <c r="X116" i="227"/>
  <c r="V116" i="227"/>
  <c r="U116" i="227"/>
  <c r="T116" i="227"/>
  <c r="S116" i="227"/>
  <c r="R116" i="227"/>
  <c r="Q116" i="227"/>
  <c r="P116" i="227"/>
  <c r="O116" i="227"/>
  <c r="N116" i="227"/>
  <c r="M116" i="227"/>
  <c r="L116" i="227"/>
  <c r="I116" i="227"/>
  <c r="E116" i="227"/>
  <c r="AB115" i="227"/>
  <c r="Z115" i="227"/>
  <c r="X115" i="227"/>
  <c r="V115" i="227"/>
  <c r="U115" i="227"/>
  <c r="T115" i="227"/>
  <c r="S115" i="227"/>
  <c r="R115" i="227"/>
  <c r="Q115" i="227"/>
  <c r="P115" i="227"/>
  <c r="O115" i="227"/>
  <c r="N115" i="227"/>
  <c r="M115" i="227"/>
  <c r="L115" i="227"/>
  <c r="I115" i="227"/>
  <c r="E115" i="227"/>
  <c r="AB111" i="227"/>
  <c r="Z111" i="227"/>
  <c r="X111" i="227"/>
  <c r="V111" i="227"/>
  <c r="T111" i="227"/>
  <c r="S111" i="227"/>
  <c r="R111" i="227"/>
  <c r="Q111" i="227"/>
  <c r="P111" i="227"/>
  <c r="O111" i="227"/>
  <c r="N111" i="227"/>
  <c r="M111" i="227"/>
  <c r="L111" i="227"/>
  <c r="I111" i="227"/>
  <c r="E111" i="227"/>
  <c r="AB110" i="227"/>
  <c r="Z110" i="227"/>
  <c r="X110" i="227"/>
  <c r="V110" i="227"/>
  <c r="T110" i="227"/>
  <c r="S110" i="227"/>
  <c r="R110" i="227"/>
  <c r="Q110" i="227"/>
  <c r="P110" i="227"/>
  <c r="O110" i="227"/>
  <c r="N110" i="227"/>
  <c r="M110" i="227"/>
  <c r="L110" i="227"/>
  <c r="I110" i="227"/>
  <c r="E110" i="227"/>
  <c r="AB107" i="227"/>
  <c r="Z107" i="227"/>
  <c r="X107" i="227"/>
  <c r="V107" i="227"/>
  <c r="U107" i="227"/>
  <c r="T107" i="227"/>
  <c r="S107" i="227"/>
  <c r="R107" i="227"/>
  <c r="Q107" i="227"/>
  <c r="P107" i="227"/>
  <c r="O107" i="227"/>
  <c r="N107" i="227"/>
  <c r="M107" i="227"/>
  <c r="L107" i="227"/>
  <c r="I107" i="227"/>
  <c r="E107" i="227"/>
  <c r="AB106" i="227"/>
  <c r="Z106" i="227"/>
  <c r="X106" i="227"/>
  <c r="V106" i="227"/>
  <c r="U106" i="227"/>
  <c r="T106" i="227"/>
  <c r="S106" i="227"/>
  <c r="R106" i="227"/>
  <c r="Q106" i="227"/>
  <c r="P106" i="227"/>
  <c r="O106" i="227"/>
  <c r="N106" i="227"/>
  <c r="M106" i="227"/>
  <c r="L106" i="227"/>
  <c r="I106" i="227"/>
  <c r="E106" i="227"/>
  <c r="AB105" i="227"/>
  <c r="Z105" i="227"/>
  <c r="X105" i="227"/>
  <c r="V105" i="227"/>
  <c r="U105" i="227"/>
  <c r="T105" i="227"/>
  <c r="S105" i="227"/>
  <c r="R105" i="227"/>
  <c r="Q105" i="227"/>
  <c r="P105" i="227"/>
  <c r="O105" i="227"/>
  <c r="N105" i="227"/>
  <c r="M105" i="227"/>
  <c r="L105" i="227"/>
  <c r="I105" i="227"/>
  <c r="E105" i="227"/>
  <c r="AB102" i="227"/>
  <c r="Z102" i="227"/>
  <c r="X102" i="227"/>
  <c r="V102" i="227"/>
  <c r="U102" i="227"/>
  <c r="T102" i="227"/>
  <c r="S102" i="227"/>
  <c r="R102" i="227"/>
  <c r="Q102" i="227"/>
  <c r="P102" i="227"/>
  <c r="O102" i="227"/>
  <c r="N102" i="227"/>
  <c r="M102" i="227"/>
  <c r="L102" i="227"/>
  <c r="I102" i="227"/>
  <c r="E102" i="227"/>
  <c r="AB101" i="227"/>
  <c r="Z101" i="227"/>
  <c r="X101" i="227"/>
  <c r="V101" i="227"/>
  <c r="U101" i="227"/>
  <c r="T101" i="227"/>
  <c r="S101" i="227"/>
  <c r="R101" i="227"/>
  <c r="Q101" i="227"/>
  <c r="P101" i="227"/>
  <c r="O101" i="227"/>
  <c r="N101" i="227"/>
  <c r="M101" i="227"/>
  <c r="L101" i="227"/>
  <c r="I101" i="227"/>
  <c r="E101" i="227"/>
  <c r="AB100" i="227"/>
  <c r="Z100" i="227"/>
  <c r="X100" i="227"/>
  <c r="V100" i="227"/>
  <c r="U100" i="227"/>
  <c r="T100" i="227"/>
  <c r="S100" i="227"/>
  <c r="R100" i="227"/>
  <c r="Q100" i="227"/>
  <c r="P100" i="227"/>
  <c r="O100" i="227"/>
  <c r="N100" i="227"/>
  <c r="M100" i="227"/>
  <c r="L100" i="227"/>
  <c r="I100" i="227"/>
  <c r="E100" i="227"/>
  <c r="AB99" i="227"/>
  <c r="Z99" i="227"/>
  <c r="X99" i="227"/>
  <c r="V99" i="227"/>
  <c r="U99" i="227"/>
  <c r="T99" i="227"/>
  <c r="S99" i="227"/>
  <c r="R99" i="227"/>
  <c r="Q99" i="227"/>
  <c r="P99" i="227"/>
  <c r="O99" i="227"/>
  <c r="N99" i="227"/>
  <c r="M99" i="227"/>
  <c r="L99" i="227"/>
  <c r="I99" i="227"/>
  <c r="E99" i="227"/>
  <c r="AB98" i="227"/>
  <c r="Z98" i="227"/>
  <c r="X98" i="227"/>
  <c r="V98" i="227"/>
  <c r="U98" i="227"/>
  <c r="T98" i="227"/>
  <c r="S98" i="227"/>
  <c r="R98" i="227"/>
  <c r="Q98" i="227"/>
  <c r="P98" i="227"/>
  <c r="O98" i="227"/>
  <c r="N98" i="227"/>
  <c r="M98" i="227"/>
  <c r="L98" i="227"/>
  <c r="I98" i="227"/>
  <c r="E98" i="227"/>
  <c r="AB97" i="227"/>
  <c r="Z97" i="227"/>
  <c r="X97" i="227"/>
  <c r="V97" i="227"/>
  <c r="U97" i="227"/>
  <c r="T97" i="227"/>
  <c r="S97" i="227"/>
  <c r="R97" i="227"/>
  <c r="Q97" i="227"/>
  <c r="P97" i="227"/>
  <c r="O97" i="227"/>
  <c r="N97" i="227"/>
  <c r="M97" i="227"/>
  <c r="L97" i="227"/>
  <c r="I97" i="227"/>
  <c r="E97" i="227"/>
  <c r="AB96" i="227"/>
  <c r="Z96" i="227"/>
  <c r="X96" i="227"/>
  <c r="V96" i="227"/>
  <c r="U96" i="227"/>
  <c r="T96" i="227"/>
  <c r="S96" i="227"/>
  <c r="R96" i="227"/>
  <c r="Q96" i="227"/>
  <c r="P96" i="227"/>
  <c r="O96" i="227"/>
  <c r="N96" i="227"/>
  <c r="M96" i="227"/>
  <c r="L96" i="227"/>
  <c r="I96" i="227"/>
  <c r="E96" i="227"/>
  <c r="AB93" i="227"/>
  <c r="Z93" i="227"/>
  <c r="X93" i="227"/>
  <c r="V93" i="227"/>
  <c r="U93" i="227"/>
  <c r="T93" i="227"/>
  <c r="S93" i="227"/>
  <c r="R93" i="227"/>
  <c r="Q93" i="227"/>
  <c r="P93" i="227"/>
  <c r="O93" i="227"/>
  <c r="N93" i="227"/>
  <c r="M93" i="227"/>
  <c r="L93" i="227"/>
  <c r="I93" i="227"/>
  <c r="E93" i="227"/>
  <c r="AB92" i="227"/>
  <c r="Z92" i="227"/>
  <c r="X92" i="227"/>
  <c r="V92" i="227"/>
  <c r="U92" i="227"/>
  <c r="T92" i="227"/>
  <c r="S92" i="227"/>
  <c r="R92" i="227"/>
  <c r="Q92" i="227"/>
  <c r="P92" i="227"/>
  <c r="O92" i="227"/>
  <c r="N92" i="227"/>
  <c r="M92" i="227"/>
  <c r="L92" i="227"/>
  <c r="I92" i="227"/>
  <c r="E92" i="227"/>
  <c r="AB91" i="227"/>
  <c r="Z91" i="227"/>
  <c r="X91" i="227"/>
  <c r="V91" i="227"/>
  <c r="U91" i="227"/>
  <c r="T91" i="227"/>
  <c r="S91" i="227"/>
  <c r="R91" i="227"/>
  <c r="Q91" i="227"/>
  <c r="P91" i="227"/>
  <c r="O91" i="227"/>
  <c r="N91" i="227"/>
  <c r="M91" i="227"/>
  <c r="L91" i="227"/>
  <c r="I91" i="227"/>
  <c r="E91" i="227"/>
  <c r="AB90" i="227"/>
  <c r="Z90" i="227"/>
  <c r="X90" i="227"/>
  <c r="V90" i="227"/>
  <c r="U90" i="227"/>
  <c r="T90" i="227"/>
  <c r="S90" i="227"/>
  <c r="R90" i="227"/>
  <c r="Q90" i="227"/>
  <c r="P90" i="227"/>
  <c r="O90" i="227"/>
  <c r="N90" i="227"/>
  <c r="M90" i="227"/>
  <c r="L90" i="227"/>
  <c r="I90" i="227"/>
  <c r="E90" i="227"/>
  <c r="AB89" i="227"/>
  <c r="Z89" i="227"/>
  <c r="X89" i="227"/>
  <c r="V89" i="227"/>
  <c r="U89" i="227"/>
  <c r="T89" i="227"/>
  <c r="S89" i="227"/>
  <c r="R89" i="227"/>
  <c r="Q89" i="227"/>
  <c r="P89" i="227"/>
  <c r="O89" i="227"/>
  <c r="N89" i="227"/>
  <c r="M89" i="227"/>
  <c r="L89" i="227"/>
  <c r="I89" i="227"/>
  <c r="E89" i="227"/>
  <c r="AB85" i="227"/>
  <c r="Z85" i="227"/>
  <c r="X85" i="227"/>
  <c r="V85" i="227"/>
  <c r="U85" i="227"/>
  <c r="T85" i="227"/>
  <c r="S85" i="227"/>
  <c r="R85" i="227"/>
  <c r="Q85" i="227"/>
  <c r="P85" i="227"/>
  <c r="O85" i="227"/>
  <c r="N85" i="227"/>
  <c r="M85" i="227"/>
  <c r="L85" i="227"/>
  <c r="I85" i="227"/>
  <c r="E85" i="227"/>
  <c r="AB84" i="227"/>
  <c r="Z84" i="227"/>
  <c r="X84" i="227"/>
  <c r="V84" i="227"/>
  <c r="U84" i="227"/>
  <c r="T84" i="227"/>
  <c r="S84" i="227"/>
  <c r="R84" i="227"/>
  <c r="Q84" i="227"/>
  <c r="P84" i="227"/>
  <c r="O84" i="227"/>
  <c r="N84" i="227"/>
  <c r="M84" i="227"/>
  <c r="L84" i="227"/>
  <c r="I84" i="227"/>
  <c r="E84" i="227"/>
  <c r="AB83" i="227"/>
  <c r="Z83" i="227"/>
  <c r="X83" i="227"/>
  <c r="V83" i="227"/>
  <c r="U83" i="227"/>
  <c r="T83" i="227"/>
  <c r="S83" i="227"/>
  <c r="R83" i="227"/>
  <c r="Q83" i="227"/>
  <c r="P83" i="227"/>
  <c r="O83" i="227"/>
  <c r="N83" i="227"/>
  <c r="M83" i="227"/>
  <c r="L83" i="227"/>
  <c r="I83" i="227"/>
  <c r="E83" i="227"/>
  <c r="AB82" i="227"/>
  <c r="Z82" i="227"/>
  <c r="X82" i="227"/>
  <c r="V82" i="227"/>
  <c r="U82" i="227"/>
  <c r="T82" i="227"/>
  <c r="S82" i="227"/>
  <c r="R82" i="227"/>
  <c r="Q82" i="227"/>
  <c r="P82" i="227"/>
  <c r="O82" i="227"/>
  <c r="N82" i="227"/>
  <c r="M82" i="227"/>
  <c r="L82" i="227"/>
  <c r="I82" i="227"/>
  <c r="E82" i="227"/>
  <c r="AB81" i="227"/>
  <c r="Z81" i="227"/>
  <c r="X81" i="227"/>
  <c r="V81" i="227"/>
  <c r="U81" i="227"/>
  <c r="T81" i="227"/>
  <c r="S81" i="227"/>
  <c r="R81" i="227"/>
  <c r="Q81" i="227"/>
  <c r="P81" i="227"/>
  <c r="O81" i="227"/>
  <c r="N81" i="227"/>
  <c r="M81" i="227"/>
  <c r="L81" i="227"/>
  <c r="I81" i="227"/>
  <c r="E81" i="227"/>
  <c r="AB80" i="227"/>
  <c r="Z80" i="227"/>
  <c r="X80" i="227"/>
  <c r="V80" i="227"/>
  <c r="U80" i="227"/>
  <c r="T80" i="227"/>
  <c r="S80" i="227"/>
  <c r="R80" i="227"/>
  <c r="Q80" i="227"/>
  <c r="P80" i="227"/>
  <c r="O80" i="227"/>
  <c r="N80" i="227"/>
  <c r="M80" i="227"/>
  <c r="L80" i="227"/>
  <c r="I80" i="227"/>
  <c r="E80" i="227"/>
  <c r="AB79" i="227"/>
  <c r="Z79" i="227"/>
  <c r="X79" i="227"/>
  <c r="V79" i="227"/>
  <c r="U79" i="227"/>
  <c r="T79" i="227"/>
  <c r="S79" i="227"/>
  <c r="R79" i="227"/>
  <c r="Q79" i="227"/>
  <c r="P79" i="227"/>
  <c r="O79" i="227"/>
  <c r="N79" i="227"/>
  <c r="M79" i="227"/>
  <c r="L79" i="227"/>
  <c r="I79" i="227"/>
  <c r="E79" i="227"/>
  <c r="AB78" i="227"/>
  <c r="Z78" i="227"/>
  <c r="X78" i="227"/>
  <c r="V78" i="227"/>
  <c r="U78" i="227"/>
  <c r="T78" i="227"/>
  <c r="S78" i="227"/>
  <c r="R78" i="227"/>
  <c r="Q78" i="227"/>
  <c r="P78" i="227"/>
  <c r="O78" i="227"/>
  <c r="N78" i="227"/>
  <c r="M78" i="227"/>
  <c r="L78" i="227"/>
  <c r="I78" i="227"/>
  <c r="E78" i="227"/>
  <c r="AB77" i="227"/>
  <c r="Z77" i="227"/>
  <c r="X77" i="227"/>
  <c r="V77" i="227"/>
  <c r="U77" i="227"/>
  <c r="T77" i="227"/>
  <c r="S77" i="227"/>
  <c r="R77" i="227"/>
  <c r="Q77" i="227"/>
  <c r="P77" i="227"/>
  <c r="O77" i="227"/>
  <c r="N77" i="227"/>
  <c r="M77" i="227"/>
  <c r="L77" i="227"/>
  <c r="I77" i="227"/>
  <c r="E77" i="227"/>
  <c r="AB76" i="227"/>
  <c r="Z76" i="227"/>
  <c r="X76" i="227"/>
  <c r="V76" i="227"/>
  <c r="U76" i="227"/>
  <c r="T76" i="227"/>
  <c r="S76" i="227"/>
  <c r="R76" i="227"/>
  <c r="Q76" i="227"/>
  <c r="P76" i="227"/>
  <c r="O76" i="227"/>
  <c r="N76" i="227"/>
  <c r="M76" i="227"/>
  <c r="L76" i="227"/>
  <c r="I76" i="227"/>
  <c r="E76" i="227"/>
  <c r="AB73" i="227"/>
  <c r="Z73" i="227"/>
  <c r="X73" i="227"/>
  <c r="V73" i="227"/>
  <c r="U73" i="227"/>
  <c r="T73" i="227"/>
  <c r="S73" i="227"/>
  <c r="R73" i="227"/>
  <c r="Q73" i="227"/>
  <c r="P73" i="227"/>
  <c r="O73" i="227"/>
  <c r="N73" i="227"/>
  <c r="M73" i="227"/>
  <c r="L73" i="227"/>
  <c r="I73" i="227"/>
  <c r="E73" i="227"/>
  <c r="AB72" i="227"/>
  <c r="Z72" i="227"/>
  <c r="X72" i="227"/>
  <c r="V72" i="227"/>
  <c r="U72" i="227"/>
  <c r="T72" i="227"/>
  <c r="S72" i="227"/>
  <c r="R72" i="227"/>
  <c r="Q72" i="227"/>
  <c r="P72" i="227"/>
  <c r="O72" i="227"/>
  <c r="N72" i="227"/>
  <c r="M72" i="227"/>
  <c r="L72" i="227"/>
  <c r="I72" i="227"/>
  <c r="E72" i="227"/>
  <c r="AB71" i="227"/>
  <c r="Z71" i="227"/>
  <c r="X71" i="227"/>
  <c r="V71" i="227"/>
  <c r="U71" i="227"/>
  <c r="T71" i="227"/>
  <c r="S71" i="227"/>
  <c r="R71" i="227"/>
  <c r="Q71" i="227"/>
  <c r="P71" i="227"/>
  <c r="O71" i="227"/>
  <c r="N71" i="227"/>
  <c r="M71" i="227"/>
  <c r="L71" i="227"/>
  <c r="I71" i="227"/>
  <c r="E71" i="227"/>
  <c r="AB70" i="227"/>
  <c r="Z70" i="227"/>
  <c r="X70" i="227"/>
  <c r="V70" i="227"/>
  <c r="U70" i="227"/>
  <c r="T70" i="227"/>
  <c r="S70" i="227"/>
  <c r="R70" i="227"/>
  <c r="Q70" i="227"/>
  <c r="P70" i="227"/>
  <c r="O70" i="227"/>
  <c r="N70" i="227"/>
  <c r="M70" i="227"/>
  <c r="L70" i="227"/>
  <c r="I70" i="227"/>
  <c r="E70" i="227"/>
  <c r="AB69" i="227"/>
  <c r="Z69" i="227"/>
  <c r="X69" i="227"/>
  <c r="V69" i="227"/>
  <c r="U69" i="227"/>
  <c r="T69" i="227"/>
  <c r="S69" i="227"/>
  <c r="R69" i="227"/>
  <c r="Q69" i="227"/>
  <c r="P69" i="227"/>
  <c r="O69" i="227"/>
  <c r="N69" i="227"/>
  <c r="M69" i="227"/>
  <c r="L69" i="227"/>
  <c r="I69" i="227"/>
  <c r="E69" i="227"/>
  <c r="AB68" i="227"/>
  <c r="Z68" i="227"/>
  <c r="X68" i="227"/>
  <c r="V68" i="227"/>
  <c r="U68" i="227"/>
  <c r="T68" i="227"/>
  <c r="S68" i="227"/>
  <c r="R68" i="227"/>
  <c r="Q68" i="227"/>
  <c r="P68" i="227"/>
  <c r="O68" i="227"/>
  <c r="N68" i="227"/>
  <c r="M68" i="227"/>
  <c r="L68" i="227"/>
  <c r="I68" i="227"/>
  <c r="E68" i="227"/>
  <c r="AB65" i="227"/>
  <c r="Z65" i="227"/>
  <c r="X65" i="227"/>
  <c r="V65" i="227"/>
  <c r="U65" i="227"/>
  <c r="T65" i="227"/>
  <c r="S65" i="227"/>
  <c r="R65" i="227"/>
  <c r="Q65" i="227"/>
  <c r="P65" i="227"/>
  <c r="O65" i="227"/>
  <c r="N65" i="227"/>
  <c r="M65" i="227"/>
  <c r="L65" i="227"/>
  <c r="I65" i="227"/>
  <c r="F65" i="227"/>
  <c r="E65" i="227"/>
  <c r="AB64" i="227"/>
  <c r="Z64" i="227"/>
  <c r="X64" i="227"/>
  <c r="V64" i="227"/>
  <c r="U64" i="227"/>
  <c r="T64" i="227"/>
  <c r="S64" i="227"/>
  <c r="R64" i="227"/>
  <c r="Q64" i="227"/>
  <c r="P64" i="227"/>
  <c r="O64" i="227"/>
  <c r="N64" i="227"/>
  <c r="M64" i="227"/>
  <c r="L64" i="227"/>
  <c r="I64" i="227"/>
  <c r="E64" i="227"/>
  <c r="AB63" i="227"/>
  <c r="Z63" i="227"/>
  <c r="X63" i="227"/>
  <c r="V63" i="227"/>
  <c r="U63" i="227"/>
  <c r="T63" i="227"/>
  <c r="S63" i="227"/>
  <c r="R63" i="227"/>
  <c r="Q63" i="227"/>
  <c r="P63" i="227"/>
  <c r="O63" i="227"/>
  <c r="N63" i="227"/>
  <c r="M63" i="227"/>
  <c r="L63" i="227"/>
  <c r="I63" i="227"/>
  <c r="E63" i="227"/>
  <c r="AB62" i="227"/>
  <c r="Z62" i="227"/>
  <c r="X62" i="227"/>
  <c r="V62" i="227"/>
  <c r="U62" i="227"/>
  <c r="T62" i="227"/>
  <c r="S62" i="227"/>
  <c r="R62" i="227"/>
  <c r="Q62" i="227"/>
  <c r="P62" i="227"/>
  <c r="O62" i="227"/>
  <c r="N62" i="227"/>
  <c r="M62" i="227"/>
  <c r="L62" i="227"/>
  <c r="I62" i="227"/>
  <c r="E62" i="227"/>
  <c r="AB61" i="227"/>
  <c r="Z61" i="227"/>
  <c r="X61" i="227"/>
  <c r="V61" i="227"/>
  <c r="U61" i="227"/>
  <c r="T61" i="227"/>
  <c r="S61" i="227"/>
  <c r="R61" i="227"/>
  <c r="Q61" i="227"/>
  <c r="P61" i="227"/>
  <c r="O61" i="227"/>
  <c r="N61" i="227"/>
  <c r="M61" i="227"/>
  <c r="L61" i="227"/>
  <c r="I61" i="227"/>
  <c r="E61" i="227"/>
  <c r="AB60" i="227"/>
  <c r="Z60" i="227"/>
  <c r="X60" i="227"/>
  <c r="V60" i="227"/>
  <c r="U60" i="227"/>
  <c r="T60" i="227"/>
  <c r="S60" i="227"/>
  <c r="R60" i="227"/>
  <c r="Q60" i="227"/>
  <c r="P60" i="227"/>
  <c r="O60" i="227"/>
  <c r="N60" i="227"/>
  <c r="M60" i="227"/>
  <c r="L60" i="227"/>
  <c r="I60" i="227"/>
  <c r="E60" i="227"/>
  <c r="AB59" i="227"/>
  <c r="Z59" i="227"/>
  <c r="X59" i="227"/>
  <c r="V59" i="227"/>
  <c r="U59" i="227"/>
  <c r="T59" i="227"/>
  <c r="S59" i="227"/>
  <c r="R59" i="227"/>
  <c r="Q59" i="227"/>
  <c r="P59" i="227"/>
  <c r="O59" i="227"/>
  <c r="N59" i="227"/>
  <c r="M59" i="227"/>
  <c r="L59" i="227"/>
  <c r="I59" i="227"/>
  <c r="E59" i="227"/>
  <c r="AB56" i="227"/>
  <c r="Z56" i="227"/>
  <c r="X56" i="227"/>
  <c r="V56" i="227"/>
  <c r="U56" i="227"/>
  <c r="T56" i="227"/>
  <c r="S56" i="227"/>
  <c r="R56" i="227"/>
  <c r="Q56" i="227"/>
  <c r="P56" i="227"/>
  <c r="O56" i="227"/>
  <c r="N56" i="227"/>
  <c r="M56" i="227"/>
  <c r="L56" i="227"/>
  <c r="I56" i="227"/>
  <c r="E56" i="227"/>
  <c r="AB55" i="227"/>
  <c r="Z55" i="227"/>
  <c r="X55" i="227"/>
  <c r="V55" i="227"/>
  <c r="U55" i="227"/>
  <c r="T55" i="227"/>
  <c r="S55" i="227"/>
  <c r="R55" i="227"/>
  <c r="Q55" i="227"/>
  <c r="P55" i="227"/>
  <c r="O55" i="227"/>
  <c r="N55" i="227"/>
  <c r="M55" i="227"/>
  <c r="L55" i="227"/>
  <c r="I55" i="227"/>
  <c r="E55" i="227"/>
  <c r="AB52" i="227"/>
  <c r="Z52" i="227"/>
  <c r="X52" i="227"/>
  <c r="V52" i="227"/>
  <c r="U52" i="227"/>
  <c r="T52" i="227"/>
  <c r="S52" i="227"/>
  <c r="R52" i="227"/>
  <c r="Q52" i="227"/>
  <c r="P52" i="227"/>
  <c r="O52" i="227"/>
  <c r="N52" i="227"/>
  <c r="M52" i="227"/>
  <c r="L52" i="227"/>
  <c r="I52" i="227"/>
  <c r="E52" i="227"/>
  <c r="AB51" i="227"/>
  <c r="Z51" i="227"/>
  <c r="X51" i="227"/>
  <c r="V51" i="227"/>
  <c r="U51" i="227"/>
  <c r="T51" i="227"/>
  <c r="S51" i="227"/>
  <c r="R51" i="227"/>
  <c r="Q51" i="227"/>
  <c r="P51" i="227"/>
  <c r="O51" i="227"/>
  <c r="N51" i="227"/>
  <c r="M51" i="227"/>
  <c r="L51" i="227"/>
  <c r="I51" i="227"/>
  <c r="E51" i="227"/>
  <c r="AB50" i="227"/>
  <c r="Z50" i="227"/>
  <c r="X50" i="227"/>
  <c r="V50" i="227"/>
  <c r="U50" i="227"/>
  <c r="T50" i="227"/>
  <c r="S50" i="227"/>
  <c r="R50" i="227"/>
  <c r="Q50" i="227"/>
  <c r="P50" i="227"/>
  <c r="O50" i="227"/>
  <c r="N50" i="227"/>
  <c r="M50" i="227"/>
  <c r="L50" i="227"/>
  <c r="I50" i="227"/>
  <c r="E50" i="227"/>
  <c r="AB49" i="227"/>
  <c r="Z49" i="227"/>
  <c r="X49" i="227"/>
  <c r="V49" i="227"/>
  <c r="U49" i="227"/>
  <c r="T49" i="227"/>
  <c r="S49" i="227"/>
  <c r="R49" i="227"/>
  <c r="Q49" i="227"/>
  <c r="P49" i="227"/>
  <c r="O49" i="227"/>
  <c r="N49" i="227"/>
  <c r="M49" i="227"/>
  <c r="L49" i="227"/>
  <c r="I49" i="227"/>
  <c r="E49" i="227"/>
  <c r="AB48" i="227"/>
  <c r="Z48" i="227"/>
  <c r="X48" i="227"/>
  <c r="V48" i="227"/>
  <c r="U48" i="227"/>
  <c r="T48" i="227"/>
  <c r="S48" i="227"/>
  <c r="R48" i="227"/>
  <c r="Q48" i="227"/>
  <c r="P48" i="227"/>
  <c r="O48" i="227"/>
  <c r="N48" i="227"/>
  <c r="M48" i="227"/>
  <c r="L48" i="227"/>
  <c r="I48" i="227"/>
  <c r="E48" i="227"/>
  <c r="AB47" i="227"/>
  <c r="Z47" i="227"/>
  <c r="X47" i="227"/>
  <c r="V47" i="227"/>
  <c r="U47" i="227"/>
  <c r="T47" i="227"/>
  <c r="S47" i="227"/>
  <c r="R47" i="227"/>
  <c r="Q47" i="227"/>
  <c r="P47" i="227"/>
  <c r="O47" i="227"/>
  <c r="N47" i="227"/>
  <c r="M47" i="227"/>
  <c r="L47" i="227"/>
  <c r="I47" i="227"/>
  <c r="E47" i="227"/>
  <c r="AB46" i="227"/>
  <c r="Z46" i="227"/>
  <c r="X46" i="227"/>
  <c r="V46" i="227"/>
  <c r="U46" i="227"/>
  <c r="T46" i="227"/>
  <c r="S46" i="227"/>
  <c r="R46" i="227"/>
  <c r="Q46" i="227"/>
  <c r="P46" i="227"/>
  <c r="O46" i="227"/>
  <c r="N46" i="227"/>
  <c r="M46" i="227"/>
  <c r="L46" i="227"/>
  <c r="I46" i="227"/>
  <c r="E46" i="227"/>
  <c r="AB45" i="227"/>
  <c r="Z45" i="227"/>
  <c r="X45" i="227"/>
  <c r="V45" i="227"/>
  <c r="U45" i="227"/>
  <c r="T45" i="227"/>
  <c r="S45" i="227"/>
  <c r="R45" i="227"/>
  <c r="Q45" i="227"/>
  <c r="P45" i="227"/>
  <c r="O45" i="227"/>
  <c r="N45" i="227"/>
  <c r="M45" i="227"/>
  <c r="L45" i="227"/>
  <c r="I45" i="227"/>
  <c r="E45" i="227"/>
  <c r="AB42" i="227"/>
  <c r="Z42" i="227"/>
  <c r="X42" i="227"/>
  <c r="V42" i="227"/>
  <c r="U42" i="227"/>
  <c r="T42" i="227"/>
  <c r="S42" i="227"/>
  <c r="R42" i="227"/>
  <c r="Q42" i="227"/>
  <c r="P42" i="227"/>
  <c r="O42" i="227"/>
  <c r="N42" i="227"/>
  <c r="M42" i="227"/>
  <c r="L42" i="227"/>
  <c r="I42" i="227"/>
  <c r="E42" i="227"/>
  <c r="AB41" i="227"/>
  <c r="Z41" i="227"/>
  <c r="X41" i="227"/>
  <c r="V41" i="227"/>
  <c r="U41" i="227"/>
  <c r="T41" i="227"/>
  <c r="S41" i="227"/>
  <c r="R41" i="227"/>
  <c r="Q41" i="227"/>
  <c r="P41" i="227"/>
  <c r="O41" i="227"/>
  <c r="N41" i="227"/>
  <c r="M41" i="227"/>
  <c r="L41" i="227"/>
  <c r="I41" i="227"/>
  <c r="E41" i="227"/>
  <c r="AB40" i="227"/>
  <c r="Z40" i="227"/>
  <c r="X40" i="227"/>
  <c r="V40" i="227"/>
  <c r="U40" i="227"/>
  <c r="T40" i="227"/>
  <c r="S40" i="227"/>
  <c r="R40" i="227"/>
  <c r="Q40" i="227"/>
  <c r="P40" i="227"/>
  <c r="O40" i="227"/>
  <c r="N40" i="227"/>
  <c r="M40" i="227"/>
  <c r="L40" i="227"/>
  <c r="I40" i="227"/>
  <c r="E40" i="227"/>
  <c r="AB39" i="227"/>
  <c r="Z39" i="227"/>
  <c r="X39" i="227"/>
  <c r="V39" i="227"/>
  <c r="U39" i="227"/>
  <c r="T39" i="227"/>
  <c r="S39" i="227"/>
  <c r="R39" i="227"/>
  <c r="Q39" i="227"/>
  <c r="P39" i="227"/>
  <c r="O39" i="227"/>
  <c r="N39" i="227"/>
  <c r="M39" i="227"/>
  <c r="L39" i="227"/>
  <c r="I39" i="227"/>
  <c r="E39" i="227"/>
  <c r="AB36" i="227"/>
  <c r="Z36" i="227"/>
  <c r="X36" i="227"/>
  <c r="V36" i="227"/>
  <c r="T36" i="227"/>
  <c r="S36" i="227"/>
  <c r="R36" i="227"/>
  <c r="Q36" i="227"/>
  <c r="P36" i="227"/>
  <c r="O36" i="227"/>
  <c r="N36" i="227"/>
  <c r="M36" i="227"/>
  <c r="L36" i="227"/>
  <c r="I36" i="227"/>
  <c r="E36" i="227"/>
  <c r="AB35" i="227"/>
  <c r="Z35" i="227"/>
  <c r="X35" i="227"/>
  <c r="V35" i="227"/>
  <c r="T35" i="227"/>
  <c r="S35" i="227"/>
  <c r="R35" i="227"/>
  <c r="Q35" i="227"/>
  <c r="P35" i="227"/>
  <c r="O35" i="227"/>
  <c r="N35" i="227"/>
  <c r="M35" i="227"/>
  <c r="L35" i="227"/>
  <c r="I35" i="227"/>
  <c r="E35" i="227"/>
  <c r="AB34" i="227"/>
  <c r="Z34" i="227"/>
  <c r="X34" i="227"/>
  <c r="V34" i="227"/>
  <c r="U34" i="227"/>
  <c r="T34" i="227"/>
  <c r="S34" i="227"/>
  <c r="R34" i="227"/>
  <c r="Q34" i="227"/>
  <c r="P34" i="227"/>
  <c r="O34" i="227"/>
  <c r="N34" i="227"/>
  <c r="M34" i="227"/>
  <c r="L34" i="227"/>
  <c r="I34" i="227"/>
  <c r="E34" i="227"/>
  <c r="AB33" i="227"/>
  <c r="Z33" i="227"/>
  <c r="X33" i="227"/>
  <c r="V33" i="227"/>
  <c r="U33" i="227"/>
  <c r="T33" i="227"/>
  <c r="S33" i="227"/>
  <c r="R33" i="227"/>
  <c r="Q33" i="227"/>
  <c r="P33" i="227"/>
  <c r="O33" i="227"/>
  <c r="N33" i="227"/>
  <c r="M33" i="227"/>
  <c r="L33" i="227"/>
  <c r="I33" i="227"/>
  <c r="E33" i="227"/>
  <c r="AB32" i="227"/>
  <c r="Z32" i="227"/>
  <c r="X32" i="227"/>
  <c r="V32" i="227"/>
  <c r="U32" i="227"/>
  <c r="T32" i="227"/>
  <c r="S32" i="227"/>
  <c r="R32" i="227"/>
  <c r="Q32" i="227"/>
  <c r="P32" i="227"/>
  <c r="O32" i="227"/>
  <c r="N32" i="227"/>
  <c r="M32" i="227"/>
  <c r="L32" i="227"/>
  <c r="I32" i="227"/>
  <c r="E32" i="227"/>
  <c r="AB31" i="227"/>
  <c r="Z31" i="227"/>
  <c r="X31" i="227"/>
  <c r="V31" i="227"/>
  <c r="U31" i="227"/>
  <c r="T31" i="227"/>
  <c r="S31" i="227"/>
  <c r="R31" i="227"/>
  <c r="Q31" i="227"/>
  <c r="P31" i="227"/>
  <c r="O31" i="227"/>
  <c r="N31" i="227"/>
  <c r="M31" i="227"/>
  <c r="L31" i="227"/>
  <c r="I31" i="227"/>
  <c r="E31" i="227"/>
  <c r="AB30" i="227"/>
  <c r="Z30" i="227"/>
  <c r="X30" i="227"/>
  <c r="V30" i="227"/>
  <c r="U30" i="227"/>
  <c r="T30" i="227"/>
  <c r="S30" i="227"/>
  <c r="R30" i="227"/>
  <c r="Q30" i="227"/>
  <c r="P30" i="227"/>
  <c r="O30" i="227"/>
  <c r="N30" i="227"/>
  <c r="M30" i="227"/>
  <c r="L30" i="227"/>
  <c r="I30" i="227"/>
  <c r="E30" i="227"/>
  <c r="AB29" i="227"/>
  <c r="Z29" i="227"/>
  <c r="X29" i="227"/>
  <c r="V29" i="227"/>
  <c r="U29" i="227"/>
  <c r="T29" i="227"/>
  <c r="S29" i="227"/>
  <c r="R29" i="227"/>
  <c r="Q29" i="227"/>
  <c r="P29" i="227"/>
  <c r="O29" i="227"/>
  <c r="N29" i="227"/>
  <c r="M29" i="227"/>
  <c r="L29" i="227"/>
  <c r="I29" i="227"/>
  <c r="E29" i="227"/>
  <c r="AB28" i="227"/>
  <c r="Z28" i="227"/>
  <c r="X28" i="227"/>
  <c r="V28" i="227"/>
  <c r="U28" i="227"/>
  <c r="T28" i="227"/>
  <c r="S28" i="227"/>
  <c r="R28" i="227"/>
  <c r="Q28" i="227"/>
  <c r="P28" i="227"/>
  <c r="O28" i="227"/>
  <c r="N28" i="227"/>
  <c r="M28" i="227"/>
  <c r="L28" i="227"/>
  <c r="I28" i="227"/>
  <c r="E28" i="227"/>
  <c r="AB27" i="227"/>
  <c r="Z27" i="227"/>
  <c r="X27" i="227"/>
  <c r="V27" i="227"/>
  <c r="U27" i="227"/>
  <c r="T27" i="227"/>
  <c r="S27" i="227"/>
  <c r="R27" i="227"/>
  <c r="Q27" i="227"/>
  <c r="P27" i="227"/>
  <c r="O27" i="227"/>
  <c r="N27" i="227"/>
  <c r="M27" i="227"/>
  <c r="L27" i="227"/>
  <c r="I27" i="227"/>
  <c r="E27" i="227"/>
  <c r="AB26" i="227"/>
  <c r="Z26" i="227"/>
  <c r="X26" i="227"/>
  <c r="V26" i="227"/>
  <c r="U26" i="227"/>
  <c r="T26" i="227"/>
  <c r="S26" i="227"/>
  <c r="R26" i="227"/>
  <c r="Q26" i="227"/>
  <c r="P26" i="227"/>
  <c r="O26" i="227"/>
  <c r="N26" i="227"/>
  <c r="M26" i="227"/>
  <c r="L26" i="227"/>
  <c r="I26" i="227"/>
  <c r="E26" i="227"/>
  <c r="AB25" i="227"/>
  <c r="Z25" i="227"/>
  <c r="X25" i="227"/>
  <c r="V25" i="227"/>
  <c r="U25" i="227"/>
  <c r="T25" i="227"/>
  <c r="S25" i="227"/>
  <c r="R25" i="227"/>
  <c r="Q25" i="227"/>
  <c r="P25" i="227"/>
  <c r="O25" i="227"/>
  <c r="N25" i="227"/>
  <c r="M25" i="227"/>
  <c r="L25" i="227"/>
  <c r="I25" i="227"/>
  <c r="E25" i="227"/>
  <c r="AB24" i="227"/>
  <c r="Z24" i="227"/>
  <c r="X24" i="227"/>
  <c r="V24" i="227"/>
  <c r="U24" i="227"/>
  <c r="T24" i="227"/>
  <c r="S24" i="227"/>
  <c r="R24" i="227"/>
  <c r="Q24" i="227"/>
  <c r="P24" i="227"/>
  <c r="O24" i="227"/>
  <c r="N24" i="227"/>
  <c r="M24" i="227"/>
  <c r="L24" i="227"/>
  <c r="I24" i="227"/>
  <c r="E24" i="227"/>
  <c r="AB23" i="227"/>
  <c r="Z23" i="227"/>
  <c r="X23" i="227"/>
  <c r="V23" i="227"/>
  <c r="U23" i="227"/>
  <c r="T23" i="227"/>
  <c r="S23" i="227"/>
  <c r="R23" i="227"/>
  <c r="Q23" i="227"/>
  <c r="P23" i="227"/>
  <c r="O23" i="227"/>
  <c r="N23" i="227"/>
  <c r="M23" i="227"/>
  <c r="L23" i="227"/>
  <c r="I23" i="227"/>
  <c r="E23" i="227"/>
  <c r="AB22" i="227"/>
  <c r="Z22" i="227"/>
  <c r="X22" i="227"/>
  <c r="V22" i="227"/>
  <c r="U22" i="227"/>
  <c r="T22" i="227"/>
  <c r="S22" i="227"/>
  <c r="R22" i="227"/>
  <c r="Q22" i="227"/>
  <c r="P22" i="227"/>
  <c r="O22" i="227"/>
  <c r="N22" i="227"/>
  <c r="M22" i="227"/>
  <c r="L22" i="227"/>
  <c r="I22" i="227"/>
  <c r="E22" i="227"/>
  <c r="AB21" i="227"/>
  <c r="Z21" i="227"/>
  <c r="X21" i="227"/>
  <c r="V21" i="227"/>
  <c r="U21" i="227"/>
  <c r="T21" i="227"/>
  <c r="S21" i="227"/>
  <c r="R21" i="227"/>
  <c r="Q21" i="227"/>
  <c r="P21" i="227"/>
  <c r="O21" i="227"/>
  <c r="N21" i="227"/>
  <c r="M21" i="227"/>
  <c r="L21" i="227"/>
  <c r="I21" i="227"/>
  <c r="E21" i="227"/>
  <c r="AB20" i="227"/>
  <c r="Z20" i="227"/>
  <c r="X20" i="227"/>
  <c r="V20" i="227"/>
  <c r="U20" i="227"/>
  <c r="T20" i="227"/>
  <c r="S20" i="227"/>
  <c r="R20" i="227"/>
  <c r="Q20" i="227"/>
  <c r="P20" i="227"/>
  <c r="O20" i="227"/>
  <c r="N20" i="227"/>
  <c r="M20" i="227"/>
  <c r="L20" i="227"/>
  <c r="I20" i="227"/>
  <c r="E20" i="227"/>
  <c r="AB19" i="227"/>
  <c r="Z19" i="227"/>
  <c r="X19" i="227"/>
  <c r="V19" i="227"/>
  <c r="U19" i="227"/>
  <c r="T19" i="227"/>
  <c r="S19" i="227"/>
  <c r="R19" i="227"/>
  <c r="Q19" i="227"/>
  <c r="P19" i="227"/>
  <c r="O19" i="227"/>
  <c r="N19" i="227"/>
  <c r="M19" i="227"/>
  <c r="L19" i="227"/>
  <c r="I19" i="227"/>
  <c r="E19" i="227"/>
  <c r="AB18" i="227"/>
  <c r="Z18" i="227"/>
  <c r="X18" i="227"/>
  <c r="V18" i="227"/>
  <c r="U18" i="227"/>
  <c r="T18" i="227"/>
  <c r="S18" i="227"/>
  <c r="R18" i="227"/>
  <c r="Q18" i="227"/>
  <c r="P18" i="227"/>
  <c r="O18" i="227"/>
  <c r="N18" i="227"/>
  <c r="M18" i="227"/>
  <c r="L18" i="227"/>
  <c r="I18" i="227"/>
  <c r="E18" i="227"/>
  <c r="AB17" i="227"/>
  <c r="Z17" i="227"/>
  <c r="X17" i="227"/>
  <c r="V17" i="227"/>
  <c r="U17" i="227"/>
  <c r="T17" i="227"/>
  <c r="S17" i="227"/>
  <c r="R17" i="227"/>
  <c r="Q17" i="227"/>
  <c r="P17" i="227"/>
  <c r="O17" i="227"/>
  <c r="N17" i="227"/>
  <c r="M17" i="227"/>
  <c r="L17" i="227"/>
  <c r="I17" i="227"/>
  <c r="E17" i="227"/>
  <c r="AB16" i="227"/>
  <c r="Z16" i="227"/>
  <c r="X16" i="227"/>
  <c r="V16" i="227"/>
  <c r="U16" i="227"/>
  <c r="T16" i="227"/>
  <c r="S16" i="227"/>
  <c r="R16" i="227"/>
  <c r="Q16" i="227"/>
  <c r="P16" i="227"/>
  <c r="O16" i="227"/>
  <c r="N16" i="227"/>
  <c r="M16" i="227"/>
  <c r="L16" i="227"/>
  <c r="I16" i="227"/>
  <c r="E16" i="227"/>
  <c r="AB15" i="227"/>
  <c r="Z15" i="227"/>
  <c r="X15" i="227"/>
  <c r="V15" i="227"/>
  <c r="U15" i="227"/>
  <c r="T15" i="227"/>
  <c r="S15" i="227"/>
  <c r="R15" i="227"/>
  <c r="Q15" i="227"/>
  <c r="P15" i="227"/>
  <c r="O15" i="227"/>
  <c r="N15" i="227"/>
  <c r="M15" i="227"/>
  <c r="L15" i="227"/>
  <c r="I15" i="227"/>
  <c r="E15" i="227"/>
  <c r="AB14" i="227"/>
  <c r="Z14" i="227"/>
  <c r="X14" i="227"/>
  <c r="V14" i="227"/>
  <c r="U14" i="227"/>
  <c r="T14" i="227"/>
  <c r="S14" i="227"/>
  <c r="R14" i="227"/>
  <c r="Q14" i="227"/>
  <c r="P14" i="227"/>
  <c r="O14" i="227"/>
  <c r="N14" i="227"/>
  <c r="M14" i="227"/>
  <c r="L14" i="227"/>
  <c r="I14" i="227"/>
  <c r="E14" i="227"/>
  <c r="AB13" i="227"/>
  <c r="Z13" i="227"/>
  <c r="X13" i="227"/>
  <c r="V13" i="227"/>
  <c r="U13" i="227"/>
  <c r="T13" i="227"/>
  <c r="S13" i="227"/>
  <c r="R13" i="227"/>
  <c r="Q13" i="227"/>
  <c r="P13" i="227"/>
  <c r="O13" i="227"/>
  <c r="N13" i="227"/>
  <c r="M13" i="227"/>
  <c r="L13" i="227"/>
  <c r="I13" i="227"/>
  <c r="E13" i="227"/>
  <c r="AB12" i="227"/>
  <c r="Z12" i="227"/>
  <c r="X12" i="227"/>
  <c r="V12" i="227"/>
  <c r="U12" i="227"/>
  <c r="T12" i="227"/>
  <c r="S12" i="227"/>
  <c r="R12" i="227"/>
  <c r="Q12" i="227"/>
  <c r="P12" i="227"/>
  <c r="O12" i="227"/>
  <c r="N12" i="227"/>
  <c r="M12" i="227"/>
  <c r="L12" i="227"/>
  <c r="I12" i="227"/>
  <c r="E12" i="227"/>
  <c r="AB11" i="227"/>
  <c r="Z11" i="227"/>
  <c r="X11" i="227"/>
  <c r="V11" i="227"/>
  <c r="U11" i="227"/>
  <c r="T11" i="227"/>
  <c r="S11" i="227"/>
  <c r="R11" i="227"/>
  <c r="Q11" i="227"/>
  <c r="P11" i="227"/>
  <c r="O11" i="227"/>
  <c r="N11" i="227"/>
  <c r="M11" i="227"/>
  <c r="L11" i="227"/>
  <c r="I11" i="227"/>
  <c r="E11" i="227"/>
  <c r="AB10" i="227"/>
  <c r="Z10" i="227"/>
  <c r="X10" i="227"/>
  <c r="V10" i="227"/>
  <c r="U10" i="227"/>
  <c r="T10" i="227"/>
  <c r="S10" i="227"/>
  <c r="R10" i="227"/>
  <c r="Q10" i="227"/>
  <c r="P10" i="227"/>
  <c r="O10" i="227"/>
  <c r="N10" i="227"/>
  <c r="M10" i="227"/>
  <c r="L10" i="227"/>
  <c r="I10" i="227"/>
  <c r="E10" i="227"/>
  <c r="AB9" i="227"/>
  <c r="Z9" i="227"/>
  <c r="X9" i="227"/>
  <c r="V9" i="227"/>
  <c r="U9" i="227"/>
  <c r="T9" i="227"/>
  <c r="S9" i="227"/>
  <c r="R9" i="227"/>
  <c r="Q9" i="227"/>
  <c r="P9" i="227"/>
  <c r="O9" i="227"/>
  <c r="N9" i="227"/>
  <c r="M9" i="227"/>
  <c r="L9" i="227"/>
  <c r="I9" i="227"/>
  <c r="E9" i="227"/>
  <c r="AB8" i="227"/>
  <c r="Z8" i="227"/>
  <c r="X8" i="227"/>
  <c r="V8" i="227"/>
  <c r="U8" i="227"/>
  <c r="T8" i="227"/>
  <c r="S8" i="227"/>
  <c r="R8" i="227"/>
  <c r="Q8" i="227"/>
  <c r="P8" i="227"/>
  <c r="O8" i="227"/>
  <c r="N8" i="227"/>
  <c r="M8" i="227"/>
  <c r="L8" i="227"/>
  <c r="I8" i="227"/>
  <c r="E8" i="227"/>
  <c r="AB7" i="227"/>
  <c r="Z7" i="227"/>
  <c r="X7" i="227"/>
  <c r="V7" i="227"/>
  <c r="U7" i="227"/>
  <c r="T7" i="227"/>
  <c r="S7" i="227"/>
  <c r="R7" i="227"/>
  <c r="Q7" i="227"/>
  <c r="P7" i="227"/>
  <c r="O7" i="227"/>
  <c r="N7" i="227"/>
  <c r="M7" i="227"/>
  <c r="L7" i="227"/>
  <c r="I7" i="227"/>
  <c r="E7" i="227"/>
  <c r="AB6" i="227"/>
  <c r="Z6" i="227"/>
  <c r="X6" i="227"/>
  <c r="V6" i="227"/>
  <c r="U6" i="227"/>
  <c r="T6" i="227"/>
  <c r="S6" i="227"/>
  <c r="R6" i="227"/>
  <c r="Q6" i="227"/>
  <c r="P6" i="227"/>
  <c r="O6" i="227"/>
  <c r="N6" i="227"/>
  <c r="M6" i="227"/>
  <c r="L6" i="227"/>
  <c r="I6" i="227"/>
  <c r="E6" i="227"/>
  <c r="J202" i="236"/>
  <c r="I202" i="236"/>
  <c r="H202" i="236"/>
  <c r="G202" i="236"/>
  <c r="F202" i="236"/>
  <c r="E202" i="236"/>
  <c r="C202" i="236"/>
  <c r="J200" i="236"/>
  <c r="I200" i="236"/>
  <c r="H200" i="236"/>
  <c r="G200" i="236"/>
  <c r="F200" i="236"/>
  <c r="E200" i="236"/>
  <c r="C200" i="236"/>
  <c r="J199" i="236"/>
  <c r="I199" i="236"/>
  <c r="H199" i="236"/>
  <c r="G199" i="236"/>
  <c r="F199" i="236"/>
  <c r="E199" i="236"/>
  <c r="J198" i="236"/>
  <c r="I198" i="236"/>
  <c r="H198" i="236"/>
  <c r="J197" i="236"/>
  <c r="I197" i="236"/>
  <c r="H197" i="236"/>
  <c r="J196" i="236"/>
  <c r="I196" i="236"/>
  <c r="H196" i="236"/>
  <c r="J195" i="236"/>
  <c r="I195" i="236"/>
  <c r="H195" i="236"/>
  <c r="J194" i="236"/>
  <c r="I194" i="236"/>
  <c r="H194" i="236"/>
  <c r="J193" i="236"/>
  <c r="I193" i="236"/>
  <c r="H193" i="236"/>
  <c r="J192" i="236"/>
  <c r="I192" i="236"/>
  <c r="H192" i="236"/>
  <c r="J191" i="236"/>
  <c r="I191" i="236"/>
  <c r="H191" i="236"/>
  <c r="J190" i="236"/>
  <c r="I190" i="236"/>
  <c r="H190" i="236"/>
  <c r="J189" i="236"/>
  <c r="I189" i="236"/>
  <c r="H189" i="236"/>
  <c r="J188" i="236"/>
  <c r="I188" i="236"/>
  <c r="H188" i="236"/>
  <c r="J187" i="236"/>
  <c r="I187" i="236"/>
  <c r="H187" i="236"/>
  <c r="J186" i="236"/>
  <c r="I186" i="236"/>
  <c r="H186" i="236"/>
  <c r="J185" i="236"/>
  <c r="I185" i="236"/>
  <c r="H185" i="236"/>
  <c r="J184" i="236"/>
  <c r="I184" i="236"/>
  <c r="H184" i="236"/>
  <c r="J183" i="236"/>
  <c r="I183" i="236"/>
  <c r="H183" i="236"/>
  <c r="J182" i="236"/>
  <c r="I182" i="236"/>
  <c r="H182" i="236"/>
  <c r="J181" i="236"/>
  <c r="I181" i="236"/>
  <c r="H181" i="236"/>
  <c r="J180" i="236"/>
  <c r="I180" i="236"/>
  <c r="H180" i="236"/>
  <c r="J179" i="236"/>
  <c r="I179" i="236"/>
  <c r="H179" i="236"/>
  <c r="J178" i="236"/>
  <c r="I178" i="236"/>
  <c r="H178" i="236"/>
  <c r="J177" i="236"/>
  <c r="I177" i="236"/>
  <c r="H177" i="236"/>
  <c r="J176" i="236"/>
  <c r="I176" i="236"/>
  <c r="H176" i="236"/>
  <c r="J175" i="236"/>
  <c r="I175" i="236"/>
  <c r="H175" i="236"/>
  <c r="J174" i="236"/>
  <c r="I174" i="236"/>
  <c r="H174" i="236"/>
  <c r="J173" i="236"/>
  <c r="I173" i="236"/>
  <c r="H173" i="236"/>
  <c r="J172" i="236"/>
  <c r="I172" i="236"/>
  <c r="H172" i="236"/>
  <c r="J171" i="236"/>
  <c r="I171" i="236"/>
  <c r="H171" i="236"/>
  <c r="J170" i="236"/>
  <c r="I170" i="236"/>
  <c r="H170" i="236"/>
  <c r="J169" i="236"/>
  <c r="I169" i="236"/>
  <c r="H169" i="236"/>
  <c r="J168" i="236"/>
  <c r="I168" i="236"/>
  <c r="H168" i="236"/>
  <c r="J167" i="236"/>
  <c r="I167" i="236"/>
  <c r="H167" i="236"/>
  <c r="J166" i="236"/>
  <c r="I166" i="236"/>
  <c r="H166" i="236"/>
  <c r="J165" i="236"/>
  <c r="I165" i="236"/>
  <c r="H165" i="236"/>
  <c r="J164" i="236"/>
  <c r="I164" i="236"/>
  <c r="H164" i="236"/>
  <c r="J163" i="236"/>
  <c r="I163" i="236"/>
  <c r="H163" i="236"/>
  <c r="J162" i="236"/>
  <c r="I162" i="236"/>
  <c r="H162" i="236"/>
  <c r="J161" i="236"/>
  <c r="I161" i="236"/>
  <c r="H161" i="236"/>
  <c r="J160" i="236"/>
  <c r="I160" i="236"/>
  <c r="H160" i="236"/>
  <c r="J159" i="236"/>
  <c r="I159" i="236"/>
  <c r="H159" i="236"/>
  <c r="J158" i="236"/>
  <c r="I158" i="236"/>
  <c r="H158" i="236"/>
  <c r="J157" i="236"/>
  <c r="I157" i="236"/>
  <c r="H157" i="236"/>
  <c r="J156" i="236"/>
  <c r="I156" i="236"/>
  <c r="H156" i="236"/>
  <c r="J155" i="236"/>
  <c r="I155" i="236"/>
  <c r="H155" i="236"/>
  <c r="J154" i="236"/>
  <c r="I154" i="236"/>
  <c r="H154" i="236"/>
  <c r="J153" i="236"/>
  <c r="I153" i="236"/>
  <c r="H153" i="236"/>
  <c r="J152" i="236"/>
  <c r="I152" i="236"/>
  <c r="H152" i="236"/>
  <c r="J151" i="236"/>
  <c r="I151" i="236"/>
  <c r="H151" i="236"/>
  <c r="J150" i="236"/>
  <c r="I150" i="236"/>
  <c r="H150" i="236"/>
  <c r="J149" i="236"/>
  <c r="I149" i="236"/>
  <c r="H149" i="236"/>
  <c r="J148" i="236"/>
  <c r="I148" i="236"/>
  <c r="H148" i="236"/>
  <c r="J147" i="236"/>
  <c r="I147" i="236"/>
  <c r="H147" i="236"/>
  <c r="J146" i="236"/>
  <c r="I146" i="236"/>
  <c r="H146" i="236"/>
  <c r="J145" i="236"/>
  <c r="I145" i="236"/>
  <c r="H145" i="236"/>
  <c r="J144" i="236"/>
  <c r="I144" i="236"/>
  <c r="H144" i="236"/>
  <c r="J143" i="236"/>
  <c r="I143" i="236"/>
  <c r="H143" i="236"/>
  <c r="J142" i="236"/>
  <c r="I142" i="236"/>
  <c r="H142" i="236"/>
  <c r="J141" i="236"/>
  <c r="I141" i="236"/>
  <c r="H141" i="236"/>
  <c r="J140" i="236"/>
  <c r="I140" i="236"/>
  <c r="H140" i="236"/>
  <c r="J139" i="236"/>
  <c r="I139" i="236"/>
  <c r="H139" i="236"/>
  <c r="E139" i="236"/>
  <c r="J136" i="236"/>
  <c r="I136" i="236"/>
  <c r="H136" i="236"/>
  <c r="G136" i="236"/>
  <c r="F136" i="236"/>
  <c r="E136" i="236"/>
  <c r="J135" i="236"/>
  <c r="I135" i="236"/>
  <c r="H135" i="236"/>
  <c r="J134" i="236"/>
  <c r="I134" i="236"/>
  <c r="H134" i="236"/>
  <c r="J133" i="236"/>
  <c r="I133" i="236"/>
  <c r="H133" i="236"/>
  <c r="J132" i="236"/>
  <c r="I132" i="236"/>
  <c r="H132" i="236"/>
  <c r="J131" i="236"/>
  <c r="I131" i="236"/>
  <c r="H131" i="236"/>
  <c r="J130" i="236"/>
  <c r="I130" i="236"/>
  <c r="H130" i="236"/>
  <c r="J129" i="236"/>
  <c r="I129" i="236"/>
  <c r="H129" i="236"/>
  <c r="J128" i="236"/>
  <c r="I128" i="236"/>
  <c r="H128" i="236"/>
  <c r="J127" i="236"/>
  <c r="I127" i="236"/>
  <c r="H127" i="236"/>
  <c r="J126" i="236"/>
  <c r="I126" i="236"/>
  <c r="H126" i="236"/>
  <c r="J123" i="236"/>
  <c r="I123" i="236"/>
  <c r="H123" i="236"/>
  <c r="G123" i="236"/>
  <c r="F123" i="236"/>
  <c r="E123" i="236"/>
  <c r="I122" i="236"/>
  <c r="H122" i="236"/>
  <c r="I121" i="236"/>
  <c r="H121" i="236"/>
  <c r="J118" i="236"/>
  <c r="I118" i="236"/>
  <c r="H118" i="236"/>
  <c r="G118" i="236"/>
  <c r="F118" i="236"/>
  <c r="E118" i="236"/>
  <c r="J117" i="236"/>
  <c r="I117" i="236"/>
  <c r="H117" i="236"/>
  <c r="I116" i="236"/>
  <c r="H116" i="236"/>
  <c r="I115" i="236"/>
  <c r="H115" i="236"/>
  <c r="J112" i="236"/>
  <c r="I112" i="236"/>
  <c r="H112" i="236"/>
  <c r="G112" i="236"/>
  <c r="F112" i="236"/>
  <c r="E112" i="236"/>
  <c r="I111" i="236"/>
  <c r="H111" i="236"/>
  <c r="I110" i="236"/>
  <c r="H110" i="236"/>
  <c r="I109" i="236"/>
  <c r="H109" i="236"/>
  <c r="I108" i="236"/>
  <c r="H108" i="236"/>
  <c r="J107" i="236"/>
  <c r="I107" i="236"/>
  <c r="H107" i="236"/>
  <c r="J106" i="236"/>
  <c r="I106" i="236"/>
  <c r="H106" i="236"/>
  <c r="I105" i="236"/>
  <c r="H105" i="236"/>
  <c r="J102" i="236"/>
  <c r="I102" i="236"/>
  <c r="H102" i="236"/>
  <c r="G102" i="236"/>
  <c r="F102" i="236"/>
  <c r="E102" i="236"/>
  <c r="J101" i="236"/>
  <c r="I101" i="236"/>
  <c r="H101" i="236"/>
  <c r="J100" i="236"/>
  <c r="I100" i="236"/>
  <c r="H100" i="236"/>
  <c r="J99" i="236"/>
  <c r="I99" i="236"/>
  <c r="H99" i="236"/>
  <c r="J98" i="236"/>
  <c r="I98" i="236"/>
  <c r="H98" i="236"/>
  <c r="J97" i="236"/>
  <c r="I97" i="236"/>
  <c r="H97" i="236"/>
  <c r="J94" i="236"/>
  <c r="I94" i="236"/>
  <c r="H94" i="236"/>
  <c r="G94" i="236"/>
  <c r="F94" i="236"/>
  <c r="E94" i="236"/>
  <c r="I93" i="236"/>
  <c r="H93" i="236"/>
  <c r="I92" i="236"/>
  <c r="H92" i="236"/>
  <c r="J91" i="236"/>
  <c r="I91" i="236"/>
  <c r="H91" i="236"/>
  <c r="I90" i="236"/>
  <c r="H90" i="236"/>
  <c r="I89" i="236"/>
  <c r="H89" i="236"/>
  <c r="I88" i="236"/>
  <c r="H88" i="236"/>
  <c r="I87" i="236"/>
  <c r="H87" i="236"/>
  <c r="I86" i="236"/>
  <c r="H86" i="236"/>
  <c r="I85" i="236"/>
  <c r="H85" i="236"/>
  <c r="J84" i="236"/>
  <c r="I84" i="236"/>
  <c r="H84" i="236"/>
  <c r="E84" i="236"/>
  <c r="J81" i="236"/>
  <c r="I81" i="236"/>
  <c r="H81" i="236"/>
  <c r="G81" i="236"/>
  <c r="F81" i="236"/>
  <c r="E81" i="236"/>
  <c r="I80" i="236"/>
  <c r="H80" i="236"/>
  <c r="I79" i="236"/>
  <c r="H79" i="236"/>
  <c r="I78" i="236"/>
  <c r="H78" i="236"/>
  <c r="J77" i="236"/>
  <c r="I77" i="236"/>
  <c r="H77" i="236"/>
  <c r="I76" i="236"/>
  <c r="H76" i="236"/>
  <c r="I75" i="236"/>
  <c r="H75" i="236"/>
  <c r="J72" i="236"/>
  <c r="I72" i="236"/>
  <c r="H72" i="236"/>
  <c r="G72" i="236"/>
  <c r="F72" i="236"/>
  <c r="E72" i="236"/>
  <c r="I71" i="236"/>
  <c r="H71" i="236"/>
  <c r="I70" i="236"/>
  <c r="H70" i="236"/>
  <c r="I69" i="236"/>
  <c r="H69" i="236"/>
  <c r="I68" i="236"/>
  <c r="H68" i="236"/>
  <c r="I67" i="236"/>
  <c r="H67" i="236"/>
  <c r="I66" i="236"/>
  <c r="H66" i="236"/>
  <c r="J65" i="236"/>
  <c r="I65" i="236"/>
  <c r="H65" i="236"/>
  <c r="J62" i="236"/>
  <c r="I62" i="236"/>
  <c r="H62" i="236"/>
  <c r="G62" i="236"/>
  <c r="F62" i="236"/>
  <c r="E62" i="236"/>
  <c r="I61" i="236"/>
  <c r="H61" i="236"/>
  <c r="I60" i="236"/>
  <c r="H60" i="236"/>
  <c r="J57" i="236"/>
  <c r="I57" i="236"/>
  <c r="H57" i="236"/>
  <c r="G57" i="236"/>
  <c r="F57" i="236"/>
  <c r="E57" i="236"/>
  <c r="I56" i="236"/>
  <c r="H56" i="236"/>
  <c r="I55" i="236"/>
  <c r="H55" i="236"/>
  <c r="I54" i="236"/>
  <c r="H54" i="236"/>
  <c r="I53" i="236"/>
  <c r="H53" i="236"/>
  <c r="I52" i="236"/>
  <c r="H52" i="236"/>
  <c r="J51" i="236"/>
  <c r="I51" i="236"/>
  <c r="H51" i="236"/>
  <c r="I50" i="236"/>
  <c r="H50" i="236"/>
  <c r="I49" i="236"/>
  <c r="H49" i="236"/>
  <c r="J46" i="236"/>
  <c r="I46" i="236"/>
  <c r="H46" i="236"/>
  <c r="G46" i="236"/>
  <c r="F46" i="236"/>
  <c r="E46" i="236"/>
  <c r="I45" i="236"/>
  <c r="H45" i="236"/>
  <c r="I44" i="236"/>
  <c r="H44" i="236"/>
  <c r="I43" i="236"/>
  <c r="H43" i="236"/>
  <c r="I42" i="236"/>
  <c r="H42" i="236"/>
  <c r="J39" i="236"/>
  <c r="I39" i="236"/>
  <c r="H39" i="236"/>
  <c r="G39" i="236"/>
  <c r="F39" i="236"/>
  <c r="E39" i="236"/>
  <c r="J38" i="236"/>
  <c r="I38" i="236"/>
  <c r="H38" i="236"/>
  <c r="J37" i="236"/>
  <c r="I37" i="236"/>
  <c r="H37" i="236"/>
  <c r="J36" i="236"/>
  <c r="I36" i="236"/>
  <c r="H36" i="236"/>
  <c r="J35" i="236"/>
  <c r="I35" i="236"/>
  <c r="H35" i="236"/>
  <c r="J34" i="236"/>
  <c r="I34" i="236"/>
  <c r="H34" i="236"/>
  <c r="J33" i="236"/>
  <c r="I33" i="236"/>
  <c r="H33" i="236"/>
  <c r="J32" i="236"/>
  <c r="I32" i="236"/>
  <c r="H32" i="236"/>
  <c r="J31" i="236"/>
  <c r="I31" i="236"/>
  <c r="H31" i="236"/>
  <c r="J30" i="236"/>
  <c r="I30" i="236"/>
  <c r="H30" i="236"/>
  <c r="J29" i="236"/>
  <c r="I29" i="236"/>
  <c r="H29" i="236"/>
  <c r="J28" i="236"/>
  <c r="I28" i="236"/>
  <c r="H28" i="236"/>
  <c r="J27" i="236"/>
  <c r="I27" i="236"/>
  <c r="H27" i="236"/>
  <c r="J26" i="236"/>
  <c r="I26" i="236"/>
  <c r="H26" i="236"/>
  <c r="J25" i="236"/>
  <c r="I25" i="236"/>
  <c r="H25" i="236"/>
  <c r="J24" i="236"/>
  <c r="I24" i="236"/>
  <c r="H24" i="236"/>
  <c r="J23" i="236"/>
  <c r="I23" i="236"/>
  <c r="H23" i="236"/>
  <c r="J22" i="236"/>
  <c r="I22" i="236"/>
  <c r="H22" i="236"/>
  <c r="F22" i="236"/>
  <c r="J21" i="236"/>
  <c r="I21" i="236"/>
  <c r="H21" i="236"/>
  <c r="J20" i="236"/>
  <c r="I20" i="236"/>
  <c r="H20" i="236"/>
  <c r="J19" i="236"/>
  <c r="I19" i="236"/>
  <c r="H19" i="236"/>
  <c r="J18" i="236"/>
  <c r="I18" i="236"/>
  <c r="H18" i="236"/>
  <c r="J17" i="236"/>
  <c r="I17" i="236"/>
  <c r="H17" i="236"/>
  <c r="J16" i="236"/>
  <c r="I16" i="236"/>
  <c r="H16" i="236"/>
  <c r="J15" i="236"/>
  <c r="I15" i="236"/>
  <c r="H15" i="236"/>
  <c r="F15" i="236"/>
  <c r="J14" i="236"/>
  <c r="I14" i="236"/>
  <c r="H14" i="236"/>
  <c r="J13" i="236"/>
  <c r="I13" i="236"/>
  <c r="H13" i="236"/>
  <c r="J12" i="236"/>
  <c r="I12" i="236"/>
  <c r="H12" i="236"/>
  <c r="F12" i="236"/>
  <c r="J11" i="236"/>
  <c r="I11" i="236"/>
  <c r="H11" i="236"/>
  <c r="J10" i="236"/>
  <c r="I10" i="236"/>
  <c r="J9" i="236"/>
  <c r="I9" i="236"/>
  <c r="J8" i="236"/>
  <c r="I8" i="236"/>
  <c r="E3" i="236"/>
  <c r="C5" i="234"/>
  <c r="C4" i="234"/>
  <c r="C3" i="234"/>
  <c r="C7" i="234" s="1"/>
  <c r="C2" i="234"/>
  <c r="E250" i="233"/>
  <c r="C250" i="233"/>
  <c r="E249" i="233"/>
  <c r="E179" i="233"/>
  <c r="E164" i="233"/>
  <c r="E156" i="233"/>
  <c r="E145" i="233"/>
  <c r="E131" i="233"/>
  <c r="E121" i="233"/>
  <c r="E105" i="233"/>
  <c r="E91" i="233"/>
  <c r="E77" i="233"/>
  <c r="E72" i="233"/>
  <c r="E57" i="233"/>
  <c r="E47" i="233"/>
  <c r="K7" i="232"/>
  <c r="H7" i="232"/>
  <c r="K6" i="232"/>
  <c r="H6" i="232"/>
  <c r="D245" i="235"/>
  <c r="D244" i="235"/>
  <c r="D175" i="235"/>
  <c r="D160" i="235"/>
  <c r="D152" i="235"/>
  <c r="D141" i="235"/>
  <c r="D127" i="235"/>
  <c r="D117" i="235"/>
  <c r="D101" i="235"/>
  <c r="D87" i="235"/>
  <c r="D73" i="235"/>
  <c r="D68" i="235"/>
  <c r="D53" i="235"/>
  <c r="D43" i="235"/>
  <c r="M202" i="239"/>
  <c r="J202" i="239"/>
  <c r="E202" i="239"/>
  <c r="C202" i="239"/>
  <c r="M200" i="239"/>
  <c r="J200" i="239"/>
  <c r="E200" i="239"/>
  <c r="C200" i="239"/>
  <c r="Q199" i="239"/>
  <c r="P199" i="239"/>
  <c r="O199" i="239"/>
  <c r="N199" i="239"/>
  <c r="M199" i="239"/>
  <c r="L199" i="239"/>
  <c r="K199" i="239"/>
  <c r="J199" i="239"/>
  <c r="I199" i="239"/>
  <c r="H199" i="239"/>
  <c r="G199" i="239"/>
  <c r="F199" i="239"/>
  <c r="E199" i="239"/>
  <c r="Q198" i="239"/>
  <c r="P198" i="239"/>
  <c r="O198" i="239"/>
  <c r="L198" i="239"/>
  <c r="K198" i="239"/>
  <c r="I198" i="239"/>
  <c r="H198" i="239"/>
  <c r="Q197" i="239"/>
  <c r="P197" i="239"/>
  <c r="O197" i="239"/>
  <c r="L197" i="239"/>
  <c r="K197" i="239"/>
  <c r="I197" i="239"/>
  <c r="H197" i="239"/>
  <c r="Q196" i="239"/>
  <c r="P196" i="239"/>
  <c r="O196" i="239"/>
  <c r="L196" i="239"/>
  <c r="K196" i="239"/>
  <c r="I196" i="239"/>
  <c r="H196" i="239"/>
  <c r="Q195" i="239"/>
  <c r="P195" i="239"/>
  <c r="O195" i="239"/>
  <c r="L195" i="239"/>
  <c r="K195" i="239"/>
  <c r="I195" i="239"/>
  <c r="H195" i="239"/>
  <c r="Q194" i="239"/>
  <c r="P194" i="239"/>
  <c r="O194" i="239"/>
  <c r="L194" i="239"/>
  <c r="K194" i="239"/>
  <c r="I194" i="239"/>
  <c r="H194" i="239"/>
  <c r="Q193" i="239"/>
  <c r="P193" i="239"/>
  <c r="O193" i="239"/>
  <c r="L193" i="239"/>
  <c r="K193" i="239"/>
  <c r="I193" i="239"/>
  <c r="H193" i="239"/>
  <c r="Q192" i="239"/>
  <c r="P192" i="239"/>
  <c r="O192" i="239"/>
  <c r="L192" i="239"/>
  <c r="K192" i="239"/>
  <c r="I192" i="239"/>
  <c r="H192" i="239"/>
  <c r="Q191" i="239"/>
  <c r="P191" i="239"/>
  <c r="O191" i="239"/>
  <c r="L191" i="239"/>
  <c r="K191" i="239"/>
  <c r="I191" i="239"/>
  <c r="H191" i="239"/>
  <c r="Q190" i="239"/>
  <c r="P190" i="239"/>
  <c r="O190" i="239"/>
  <c r="L190" i="239"/>
  <c r="K190" i="239"/>
  <c r="I190" i="239"/>
  <c r="H190" i="239"/>
  <c r="Q189" i="239"/>
  <c r="P189" i="239"/>
  <c r="O189" i="239"/>
  <c r="L189" i="239"/>
  <c r="K189" i="239"/>
  <c r="I189" i="239"/>
  <c r="H189" i="239"/>
  <c r="Q188" i="239"/>
  <c r="P188" i="239"/>
  <c r="O188" i="239"/>
  <c r="L188" i="239"/>
  <c r="K188" i="239"/>
  <c r="I188" i="239"/>
  <c r="H188" i="239"/>
  <c r="Q187" i="239"/>
  <c r="P187" i="239"/>
  <c r="O187" i="239"/>
  <c r="L187" i="239"/>
  <c r="K187" i="239"/>
  <c r="I187" i="239"/>
  <c r="H187" i="239"/>
  <c r="Q186" i="239"/>
  <c r="P186" i="239"/>
  <c r="O186" i="239"/>
  <c r="L186" i="239"/>
  <c r="K186" i="239"/>
  <c r="I186" i="239"/>
  <c r="H186" i="239"/>
  <c r="Q185" i="239"/>
  <c r="P185" i="239"/>
  <c r="O185" i="239"/>
  <c r="L185" i="239"/>
  <c r="K185" i="239"/>
  <c r="I185" i="239"/>
  <c r="H185" i="239"/>
  <c r="Q184" i="239"/>
  <c r="P184" i="239"/>
  <c r="O184" i="239"/>
  <c r="L184" i="239"/>
  <c r="K184" i="239"/>
  <c r="I184" i="239"/>
  <c r="H184" i="239"/>
  <c r="Q183" i="239"/>
  <c r="P183" i="239"/>
  <c r="O183" i="239"/>
  <c r="L183" i="239"/>
  <c r="K183" i="239"/>
  <c r="I183" i="239"/>
  <c r="H183" i="239"/>
  <c r="Q182" i="239"/>
  <c r="P182" i="239"/>
  <c r="O182" i="239"/>
  <c r="L182" i="239"/>
  <c r="K182" i="239"/>
  <c r="I182" i="239"/>
  <c r="H182" i="239"/>
  <c r="Q181" i="239"/>
  <c r="P181" i="239"/>
  <c r="O181" i="239"/>
  <c r="L181" i="239"/>
  <c r="K181" i="239"/>
  <c r="I181" i="239"/>
  <c r="H181" i="239"/>
  <c r="Q180" i="239"/>
  <c r="P180" i="239"/>
  <c r="O180" i="239"/>
  <c r="L180" i="239"/>
  <c r="K180" i="239"/>
  <c r="I180" i="239"/>
  <c r="H180" i="239"/>
  <c r="Q179" i="239"/>
  <c r="P179" i="239"/>
  <c r="O179" i="239"/>
  <c r="L179" i="239"/>
  <c r="K179" i="239"/>
  <c r="I179" i="239"/>
  <c r="H179" i="239"/>
  <c r="Q178" i="239"/>
  <c r="P178" i="239"/>
  <c r="O178" i="239"/>
  <c r="L178" i="239"/>
  <c r="K178" i="239"/>
  <c r="I178" i="239"/>
  <c r="H178" i="239"/>
  <c r="Q177" i="239"/>
  <c r="P177" i="239"/>
  <c r="O177" i="239"/>
  <c r="L177" i="239"/>
  <c r="K177" i="239"/>
  <c r="I177" i="239"/>
  <c r="H177" i="239"/>
  <c r="Q176" i="239"/>
  <c r="P176" i="239"/>
  <c r="O176" i="239"/>
  <c r="L176" i="239"/>
  <c r="K176" i="239"/>
  <c r="I176" i="239"/>
  <c r="H176" i="239"/>
  <c r="Q175" i="239"/>
  <c r="P175" i="239"/>
  <c r="O175" i="239"/>
  <c r="L175" i="239"/>
  <c r="K175" i="239"/>
  <c r="I175" i="239"/>
  <c r="H175" i="239"/>
  <c r="Q174" i="239"/>
  <c r="P174" i="239"/>
  <c r="O174" i="239"/>
  <c r="L174" i="239"/>
  <c r="K174" i="239"/>
  <c r="I174" i="239"/>
  <c r="H174" i="239"/>
  <c r="Q173" i="239"/>
  <c r="P173" i="239"/>
  <c r="O173" i="239"/>
  <c r="L173" i="239"/>
  <c r="K173" i="239"/>
  <c r="I173" i="239"/>
  <c r="H173" i="239"/>
  <c r="Q172" i="239"/>
  <c r="P172" i="239"/>
  <c r="O172" i="239"/>
  <c r="L172" i="239"/>
  <c r="K172" i="239"/>
  <c r="I172" i="239"/>
  <c r="H172" i="239"/>
  <c r="Q171" i="239"/>
  <c r="P171" i="239"/>
  <c r="O171" i="239"/>
  <c r="L171" i="239"/>
  <c r="K171" i="239"/>
  <c r="I171" i="239"/>
  <c r="H171" i="239"/>
  <c r="Q170" i="239"/>
  <c r="P170" i="239"/>
  <c r="O170" i="239"/>
  <c r="L170" i="239"/>
  <c r="K170" i="239"/>
  <c r="I170" i="239"/>
  <c r="H170" i="239"/>
  <c r="Q169" i="239"/>
  <c r="P169" i="239"/>
  <c r="O169" i="239"/>
  <c r="L169" i="239"/>
  <c r="K169" i="239"/>
  <c r="I169" i="239"/>
  <c r="H169" i="239"/>
  <c r="Q168" i="239"/>
  <c r="P168" i="239"/>
  <c r="O168" i="239"/>
  <c r="L168" i="239"/>
  <c r="K168" i="239"/>
  <c r="I168" i="239"/>
  <c r="H168" i="239"/>
  <c r="Q167" i="239"/>
  <c r="P167" i="239"/>
  <c r="O167" i="239"/>
  <c r="N167" i="239"/>
  <c r="L167" i="239"/>
  <c r="K167" i="239"/>
  <c r="I167" i="239"/>
  <c r="H167" i="239"/>
  <c r="Q166" i="239"/>
  <c r="P166" i="239"/>
  <c r="O166" i="239"/>
  <c r="L166" i="239"/>
  <c r="K166" i="239"/>
  <c r="I166" i="239"/>
  <c r="H166" i="239"/>
  <c r="Q165" i="239"/>
  <c r="P165" i="239"/>
  <c r="O165" i="239"/>
  <c r="L165" i="239"/>
  <c r="K165" i="239"/>
  <c r="I165" i="239"/>
  <c r="H165" i="239"/>
  <c r="Q164" i="239"/>
  <c r="P164" i="239"/>
  <c r="O164" i="239"/>
  <c r="N164" i="239"/>
  <c r="L164" i="239"/>
  <c r="K164" i="239"/>
  <c r="I164" i="239"/>
  <c r="H164" i="239"/>
  <c r="Q163" i="239"/>
  <c r="P163" i="239"/>
  <c r="O163" i="239"/>
  <c r="N163" i="239"/>
  <c r="L163" i="239"/>
  <c r="K163" i="239"/>
  <c r="I163" i="239"/>
  <c r="H163" i="239"/>
  <c r="Q162" i="239"/>
  <c r="P162" i="239"/>
  <c r="O162" i="239"/>
  <c r="N162" i="239"/>
  <c r="L162" i="239"/>
  <c r="K162" i="239"/>
  <c r="I162" i="239"/>
  <c r="H162" i="239"/>
  <c r="Q161" i="239"/>
  <c r="P161" i="239"/>
  <c r="O161" i="239"/>
  <c r="N161" i="239"/>
  <c r="L161" i="239"/>
  <c r="K161" i="239"/>
  <c r="I161" i="239"/>
  <c r="H161" i="239"/>
  <c r="Q160" i="239"/>
  <c r="P160" i="239"/>
  <c r="O160" i="239"/>
  <c r="L160" i="239"/>
  <c r="K160" i="239"/>
  <c r="I160" i="239"/>
  <c r="H160" i="239"/>
  <c r="Q159" i="239"/>
  <c r="P159" i="239"/>
  <c r="O159" i="239"/>
  <c r="L159" i="239"/>
  <c r="K159" i="239"/>
  <c r="I159" i="239"/>
  <c r="H159" i="239"/>
  <c r="Q158" i="239"/>
  <c r="P158" i="239"/>
  <c r="O158" i="239"/>
  <c r="N158" i="239"/>
  <c r="L158" i="239"/>
  <c r="K158" i="239"/>
  <c r="I158" i="239"/>
  <c r="H158" i="239"/>
  <c r="Q157" i="239"/>
  <c r="P157" i="239"/>
  <c r="O157" i="239"/>
  <c r="L157" i="239"/>
  <c r="K157" i="239"/>
  <c r="I157" i="239"/>
  <c r="H157" i="239"/>
  <c r="Q156" i="239"/>
  <c r="P156" i="239"/>
  <c r="O156" i="239"/>
  <c r="N156" i="239"/>
  <c r="L156" i="239"/>
  <c r="K156" i="239"/>
  <c r="I156" i="239"/>
  <c r="H156" i="239"/>
  <c r="Q155" i="239"/>
  <c r="P155" i="239"/>
  <c r="O155" i="239"/>
  <c r="N155" i="239"/>
  <c r="L155" i="239"/>
  <c r="K155" i="239"/>
  <c r="I155" i="239"/>
  <c r="H155" i="239"/>
  <c r="Q154" i="239"/>
  <c r="P154" i="239"/>
  <c r="O154" i="239"/>
  <c r="L154" i="239"/>
  <c r="K154" i="239"/>
  <c r="I154" i="239"/>
  <c r="H154" i="239"/>
  <c r="Q153" i="239"/>
  <c r="P153" i="239"/>
  <c r="O153" i="239"/>
  <c r="N153" i="239"/>
  <c r="L153" i="239"/>
  <c r="K153" i="239"/>
  <c r="I153" i="239"/>
  <c r="H153" i="239"/>
  <c r="Q152" i="239"/>
  <c r="P152" i="239"/>
  <c r="O152" i="239"/>
  <c r="N152" i="239"/>
  <c r="L152" i="239"/>
  <c r="K152" i="239"/>
  <c r="I152" i="239"/>
  <c r="H152" i="239"/>
  <c r="Q151" i="239"/>
  <c r="P151" i="239"/>
  <c r="O151" i="239"/>
  <c r="L151" i="239"/>
  <c r="K151" i="239"/>
  <c r="I151" i="239"/>
  <c r="H151" i="239"/>
  <c r="Q150" i="239"/>
  <c r="P150" i="239"/>
  <c r="O150" i="239"/>
  <c r="N150" i="239"/>
  <c r="L150" i="239"/>
  <c r="K150" i="239"/>
  <c r="I150" i="239"/>
  <c r="H150" i="239"/>
  <c r="Q149" i="239"/>
  <c r="P149" i="239"/>
  <c r="O149" i="239"/>
  <c r="L149" i="239"/>
  <c r="K149" i="239"/>
  <c r="I149" i="239"/>
  <c r="H149" i="239"/>
  <c r="Q148" i="239"/>
  <c r="P148" i="239"/>
  <c r="O148" i="239"/>
  <c r="N148" i="239"/>
  <c r="L148" i="239"/>
  <c r="K148" i="239"/>
  <c r="I148" i="239"/>
  <c r="H148" i="239"/>
  <c r="Q147" i="239"/>
  <c r="P147" i="239"/>
  <c r="O147" i="239"/>
  <c r="N147" i="239"/>
  <c r="L147" i="239"/>
  <c r="K147" i="239"/>
  <c r="I147" i="239"/>
  <c r="H147" i="239"/>
  <c r="Q146" i="239"/>
  <c r="P146" i="239"/>
  <c r="O146" i="239"/>
  <c r="L146" i="239"/>
  <c r="K146" i="239"/>
  <c r="I146" i="239"/>
  <c r="H146" i="239"/>
  <c r="Q145" i="239"/>
  <c r="P145" i="239"/>
  <c r="O145" i="239"/>
  <c r="L145" i="239"/>
  <c r="K145" i="239"/>
  <c r="I145" i="239"/>
  <c r="H145" i="239"/>
  <c r="Q144" i="239"/>
  <c r="P144" i="239"/>
  <c r="O144" i="239"/>
  <c r="L144" i="239"/>
  <c r="K144" i="239"/>
  <c r="I144" i="239"/>
  <c r="H144" i="239"/>
  <c r="Q143" i="239"/>
  <c r="P143" i="239"/>
  <c r="O143" i="239"/>
  <c r="N143" i="239"/>
  <c r="L143" i="239"/>
  <c r="K143" i="239"/>
  <c r="I143" i="239"/>
  <c r="H143" i="239"/>
  <c r="Q142" i="239"/>
  <c r="P142" i="239"/>
  <c r="O142" i="239"/>
  <c r="N142" i="239"/>
  <c r="L142" i="239"/>
  <c r="K142" i="239"/>
  <c r="I142" i="239"/>
  <c r="H142" i="239"/>
  <c r="Q141" i="239"/>
  <c r="P141" i="239"/>
  <c r="O141" i="239"/>
  <c r="N141" i="239"/>
  <c r="L141" i="239"/>
  <c r="K141" i="239"/>
  <c r="I141" i="239"/>
  <c r="H141" i="239"/>
  <c r="Q140" i="239"/>
  <c r="P140" i="239"/>
  <c r="O140" i="239"/>
  <c r="N140" i="239"/>
  <c r="L140" i="239"/>
  <c r="K140" i="239"/>
  <c r="I140" i="239"/>
  <c r="H140" i="239"/>
  <c r="Q139" i="239"/>
  <c r="P139" i="239"/>
  <c r="O139" i="239"/>
  <c r="N139" i="239"/>
  <c r="L139" i="239"/>
  <c r="K139" i="239"/>
  <c r="I139" i="239"/>
  <c r="H139" i="239"/>
  <c r="E139" i="239"/>
  <c r="Q136" i="239"/>
  <c r="P136" i="239"/>
  <c r="O136" i="239"/>
  <c r="N136" i="239"/>
  <c r="M136" i="239"/>
  <c r="L136" i="239"/>
  <c r="K136" i="239"/>
  <c r="J136" i="239"/>
  <c r="I136" i="239"/>
  <c r="H136" i="239"/>
  <c r="G136" i="239"/>
  <c r="F136" i="239"/>
  <c r="E136" i="239"/>
  <c r="Q135" i="239"/>
  <c r="P135" i="239"/>
  <c r="O135" i="239"/>
  <c r="N135" i="239"/>
  <c r="L135" i="239"/>
  <c r="K135" i="239"/>
  <c r="I135" i="239"/>
  <c r="H135" i="239"/>
  <c r="Q134" i="239"/>
  <c r="P134" i="239"/>
  <c r="O134" i="239"/>
  <c r="N134" i="239"/>
  <c r="L134" i="239"/>
  <c r="K134" i="239"/>
  <c r="I134" i="239"/>
  <c r="H134" i="239"/>
  <c r="Q133" i="239"/>
  <c r="P133" i="239"/>
  <c r="O133" i="239"/>
  <c r="N133" i="239"/>
  <c r="L133" i="239"/>
  <c r="K133" i="239"/>
  <c r="I133" i="239"/>
  <c r="H133" i="239"/>
  <c r="Q132" i="239"/>
  <c r="P132" i="239"/>
  <c r="O132" i="239"/>
  <c r="L132" i="239"/>
  <c r="K132" i="239"/>
  <c r="I132" i="239"/>
  <c r="H132" i="239"/>
  <c r="Q131" i="239"/>
  <c r="P131" i="239"/>
  <c r="O131" i="239"/>
  <c r="N131" i="239"/>
  <c r="L131" i="239"/>
  <c r="K131" i="239"/>
  <c r="I131" i="239"/>
  <c r="H131" i="239"/>
  <c r="Q130" i="239"/>
  <c r="P130" i="239"/>
  <c r="O130" i="239"/>
  <c r="N130" i="239"/>
  <c r="L130" i="239"/>
  <c r="K130" i="239"/>
  <c r="I130" i="239"/>
  <c r="H130" i="239"/>
  <c r="Q129" i="239"/>
  <c r="P129" i="239"/>
  <c r="O129" i="239"/>
  <c r="L129" i="239"/>
  <c r="K129" i="239"/>
  <c r="I129" i="239"/>
  <c r="H129" i="239"/>
  <c r="Q128" i="239"/>
  <c r="P128" i="239"/>
  <c r="O128" i="239"/>
  <c r="N128" i="239"/>
  <c r="L128" i="239"/>
  <c r="K128" i="239"/>
  <c r="I128" i="239"/>
  <c r="H128" i="239"/>
  <c r="Q127" i="239"/>
  <c r="P127" i="239"/>
  <c r="O127" i="239"/>
  <c r="N127" i="239"/>
  <c r="L127" i="239"/>
  <c r="K127" i="239"/>
  <c r="I127" i="239"/>
  <c r="H127" i="239"/>
  <c r="Q126" i="239"/>
  <c r="P126" i="239"/>
  <c r="O126" i="239"/>
  <c r="N126" i="239"/>
  <c r="L126" i="239"/>
  <c r="K126" i="239"/>
  <c r="I126" i="239"/>
  <c r="H126" i="239"/>
  <c r="Q123" i="239"/>
  <c r="P123" i="239"/>
  <c r="O123" i="239"/>
  <c r="N123" i="239"/>
  <c r="M123" i="239"/>
  <c r="L123" i="239"/>
  <c r="K123" i="239"/>
  <c r="J123" i="239"/>
  <c r="I123" i="239"/>
  <c r="H123" i="239"/>
  <c r="G123" i="239"/>
  <c r="F123" i="239"/>
  <c r="E123" i="239"/>
  <c r="P122" i="239"/>
  <c r="O122" i="239"/>
  <c r="L122" i="239"/>
  <c r="K122" i="239"/>
  <c r="I122" i="239"/>
  <c r="H122" i="239"/>
  <c r="P121" i="239"/>
  <c r="O121" i="239"/>
  <c r="L121" i="239"/>
  <c r="K121" i="239"/>
  <c r="I121" i="239"/>
  <c r="H121" i="239"/>
  <c r="Q118" i="239"/>
  <c r="P118" i="239"/>
  <c r="O118" i="239"/>
  <c r="N118" i="239"/>
  <c r="M118" i="239"/>
  <c r="L118" i="239"/>
  <c r="K118" i="239"/>
  <c r="J118" i="239"/>
  <c r="I118" i="239"/>
  <c r="H118" i="239"/>
  <c r="G118" i="239"/>
  <c r="F118" i="239"/>
  <c r="E118" i="239"/>
  <c r="Q117" i="239"/>
  <c r="P117" i="239"/>
  <c r="O117" i="239"/>
  <c r="N117" i="239"/>
  <c r="L117" i="239"/>
  <c r="K117" i="239"/>
  <c r="I117" i="239"/>
  <c r="H117" i="239"/>
  <c r="P116" i="239"/>
  <c r="O116" i="239"/>
  <c r="L116" i="239"/>
  <c r="K116" i="239"/>
  <c r="I116" i="239"/>
  <c r="H116" i="239"/>
  <c r="P115" i="239"/>
  <c r="O115" i="239"/>
  <c r="L115" i="239"/>
  <c r="K115" i="239"/>
  <c r="I115" i="239"/>
  <c r="H115" i="239"/>
  <c r="Q112" i="239"/>
  <c r="P112" i="239"/>
  <c r="O112" i="239"/>
  <c r="N112" i="239"/>
  <c r="M112" i="239"/>
  <c r="L112" i="239"/>
  <c r="K112" i="239"/>
  <c r="J112" i="239"/>
  <c r="I112" i="239"/>
  <c r="H112" i="239"/>
  <c r="G112" i="239"/>
  <c r="F112" i="239"/>
  <c r="E112" i="239"/>
  <c r="P111" i="239"/>
  <c r="O111" i="239"/>
  <c r="N111" i="239"/>
  <c r="L111" i="239"/>
  <c r="K111" i="239"/>
  <c r="I111" i="239"/>
  <c r="H111" i="239"/>
  <c r="P110" i="239"/>
  <c r="O110" i="239"/>
  <c r="L110" i="239"/>
  <c r="K110" i="239"/>
  <c r="I110" i="239"/>
  <c r="H110" i="239"/>
  <c r="P109" i="239"/>
  <c r="O109" i="239"/>
  <c r="L109" i="239"/>
  <c r="K109" i="239"/>
  <c r="I109" i="239"/>
  <c r="H109" i="239"/>
  <c r="P108" i="239"/>
  <c r="O108" i="239"/>
  <c r="L108" i="239"/>
  <c r="K108" i="239"/>
  <c r="I108" i="239"/>
  <c r="H108" i="239"/>
  <c r="Q107" i="239"/>
  <c r="P107" i="239"/>
  <c r="O107" i="239"/>
  <c r="N107" i="239"/>
  <c r="L107" i="239"/>
  <c r="K107" i="239"/>
  <c r="I107" i="239"/>
  <c r="H107" i="239"/>
  <c r="Q106" i="239"/>
  <c r="P106" i="239"/>
  <c r="O106" i="239"/>
  <c r="N106" i="239"/>
  <c r="L106" i="239"/>
  <c r="K106" i="239"/>
  <c r="I106" i="239"/>
  <c r="H106" i="239"/>
  <c r="P105" i="239"/>
  <c r="O105" i="239"/>
  <c r="L105" i="239"/>
  <c r="K105" i="239"/>
  <c r="I105" i="239"/>
  <c r="H105" i="239"/>
  <c r="Q102" i="239"/>
  <c r="P102" i="239"/>
  <c r="O102" i="239"/>
  <c r="N102" i="239"/>
  <c r="M102" i="239"/>
  <c r="L102" i="239"/>
  <c r="K102" i="239"/>
  <c r="J102" i="239"/>
  <c r="I102" i="239"/>
  <c r="H102" i="239"/>
  <c r="G102" i="239"/>
  <c r="F102" i="239"/>
  <c r="E102" i="239"/>
  <c r="Q101" i="239"/>
  <c r="P101" i="239"/>
  <c r="O101" i="239"/>
  <c r="L101" i="239"/>
  <c r="K101" i="239"/>
  <c r="I101" i="239"/>
  <c r="H101" i="239"/>
  <c r="Q100" i="239"/>
  <c r="P100" i="239"/>
  <c r="O100" i="239"/>
  <c r="L100" i="239"/>
  <c r="K100" i="239"/>
  <c r="I100" i="239"/>
  <c r="H100" i="239"/>
  <c r="Q99" i="239"/>
  <c r="P99" i="239"/>
  <c r="O99" i="239"/>
  <c r="N99" i="239"/>
  <c r="L99" i="239"/>
  <c r="K99" i="239"/>
  <c r="I99" i="239"/>
  <c r="H99" i="239"/>
  <c r="Q98" i="239"/>
  <c r="P98" i="239"/>
  <c r="O98" i="239"/>
  <c r="L98" i="239"/>
  <c r="K98" i="239"/>
  <c r="I98" i="239"/>
  <c r="H98" i="239"/>
  <c r="Q97" i="239"/>
  <c r="P97" i="239"/>
  <c r="O97" i="239"/>
  <c r="N97" i="239"/>
  <c r="L97" i="239"/>
  <c r="K97" i="239"/>
  <c r="I97" i="239"/>
  <c r="H97" i="239"/>
  <c r="Q94" i="239"/>
  <c r="P94" i="239"/>
  <c r="O94" i="239"/>
  <c r="N94" i="239"/>
  <c r="M94" i="239"/>
  <c r="L94" i="239"/>
  <c r="K94" i="239"/>
  <c r="J94" i="239"/>
  <c r="I94" i="239"/>
  <c r="H94" i="239"/>
  <c r="G94" i="239"/>
  <c r="F94" i="239"/>
  <c r="E94" i="239"/>
  <c r="P93" i="239"/>
  <c r="O93" i="239"/>
  <c r="N93" i="239"/>
  <c r="L93" i="239"/>
  <c r="K93" i="239"/>
  <c r="I93" i="239"/>
  <c r="H93" i="239"/>
  <c r="P92" i="239"/>
  <c r="O92" i="239"/>
  <c r="L92" i="239"/>
  <c r="K92" i="239"/>
  <c r="I92" i="239"/>
  <c r="H92" i="239"/>
  <c r="Q91" i="239"/>
  <c r="P91" i="239"/>
  <c r="O91" i="239"/>
  <c r="N91" i="239"/>
  <c r="L91" i="239"/>
  <c r="K91" i="239"/>
  <c r="I91" i="239"/>
  <c r="H91" i="239"/>
  <c r="P90" i="239"/>
  <c r="O90" i="239"/>
  <c r="L90" i="239"/>
  <c r="K90" i="239"/>
  <c r="I90" i="239"/>
  <c r="H90" i="239"/>
  <c r="P89" i="239"/>
  <c r="O89" i="239"/>
  <c r="L89" i="239"/>
  <c r="K89" i="239"/>
  <c r="I89" i="239"/>
  <c r="H89" i="239"/>
  <c r="Q88" i="239"/>
  <c r="P88" i="239"/>
  <c r="O88" i="239"/>
  <c r="N88" i="239"/>
  <c r="L88" i="239"/>
  <c r="K88" i="239"/>
  <c r="I88" i="239"/>
  <c r="H88" i="239"/>
  <c r="P87" i="239"/>
  <c r="O87" i="239"/>
  <c r="L87" i="239"/>
  <c r="K87" i="239"/>
  <c r="I87" i="239"/>
  <c r="H87" i="239"/>
  <c r="P86" i="239"/>
  <c r="O86" i="239"/>
  <c r="L86" i="239"/>
  <c r="K86" i="239"/>
  <c r="I86" i="239"/>
  <c r="H86" i="239"/>
  <c r="P85" i="239"/>
  <c r="O85" i="239"/>
  <c r="L85" i="239"/>
  <c r="K85" i="239"/>
  <c r="I85" i="239"/>
  <c r="H85" i="239"/>
  <c r="Q84" i="239"/>
  <c r="P84" i="239"/>
  <c r="O84" i="239"/>
  <c r="N84" i="239"/>
  <c r="L84" i="239"/>
  <c r="K84" i="239"/>
  <c r="I84" i="239"/>
  <c r="H84" i="239"/>
  <c r="E84" i="239"/>
  <c r="Q81" i="239"/>
  <c r="P81" i="239"/>
  <c r="O81" i="239"/>
  <c r="N81" i="239"/>
  <c r="M81" i="239"/>
  <c r="L81" i="239"/>
  <c r="K81" i="239"/>
  <c r="J81" i="239"/>
  <c r="I81" i="239"/>
  <c r="H81" i="239"/>
  <c r="G81" i="239"/>
  <c r="F81" i="239"/>
  <c r="E81" i="239"/>
  <c r="P80" i="239"/>
  <c r="O80" i="239"/>
  <c r="L80" i="239"/>
  <c r="K80" i="239"/>
  <c r="I80" i="239"/>
  <c r="H80" i="239"/>
  <c r="P79" i="239"/>
  <c r="O79" i="239"/>
  <c r="N79" i="239"/>
  <c r="L79" i="239"/>
  <c r="K79" i="239"/>
  <c r="I79" i="239"/>
  <c r="H79" i="239"/>
  <c r="P78" i="239"/>
  <c r="O78" i="239"/>
  <c r="L78" i="239"/>
  <c r="K78" i="239"/>
  <c r="I78" i="239"/>
  <c r="H78" i="239"/>
  <c r="Q77" i="239"/>
  <c r="P77" i="239"/>
  <c r="O77" i="239"/>
  <c r="N77" i="239"/>
  <c r="L77" i="239"/>
  <c r="K77" i="239"/>
  <c r="I77" i="239"/>
  <c r="H77" i="239"/>
  <c r="P76" i="239"/>
  <c r="O76" i="239"/>
  <c r="L76" i="239"/>
  <c r="K76" i="239"/>
  <c r="I76" i="239"/>
  <c r="H76" i="239"/>
  <c r="P75" i="239"/>
  <c r="O75" i="239"/>
  <c r="L75" i="239"/>
  <c r="K75" i="239"/>
  <c r="I75" i="239"/>
  <c r="H75" i="239"/>
  <c r="Q72" i="239"/>
  <c r="P72" i="239"/>
  <c r="O72" i="239"/>
  <c r="N72" i="239"/>
  <c r="M72" i="239"/>
  <c r="L72" i="239"/>
  <c r="K72" i="239"/>
  <c r="J72" i="239"/>
  <c r="I72" i="239"/>
  <c r="H72" i="239"/>
  <c r="G72" i="239"/>
  <c r="F72" i="239"/>
  <c r="E72" i="239"/>
  <c r="P71" i="239"/>
  <c r="O71" i="239"/>
  <c r="N71" i="239"/>
  <c r="L71" i="239"/>
  <c r="K71" i="239"/>
  <c r="I71" i="239"/>
  <c r="H71" i="239"/>
  <c r="P70" i="239"/>
  <c r="O70" i="239"/>
  <c r="L70" i="239"/>
  <c r="K70" i="239"/>
  <c r="I70" i="239"/>
  <c r="H70" i="239"/>
  <c r="P69" i="239"/>
  <c r="O69" i="239"/>
  <c r="L69" i="239"/>
  <c r="K69" i="239"/>
  <c r="I69" i="239"/>
  <c r="H69" i="239"/>
  <c r="P68" i="239"/>
  <c r="O68" i="239"/>
  <c r="L68" i="239"/>
  <c r="K68" i="239"/>
  <c r="I68" i="239"/>
  <c r="H68" i="239"/>
  <c r="P67" i="239"/>
  <c r="O67" i="239"/>
  <c r="L67" i="239"/>
  <c r="K67" i="239"/>
  <c r="I67" i="239"/>
  <c r="H67" i="239"/>
  <c r="P66" i="239"/>
  <c r="O66" i="239"/>
  <c r="L66" i="239"/>
  <c r="K66" i="239"/>
  <c r="I66" i="239"/>
  <c r="H66" i="239"/>
  <c r="Q65" i="239"/>
  <c r="P65" i="239"/>
  <c r="O65" i="239"/>
  <c r="N65" i="239"/>
  <c r="L65" i="239"/>
  <c r="K65" i="239"/>
  <c r="I65" i="239"/>
  <c r="H65" i="239"/>
  <c r="Q62" i="239"/>
  <c r="P62" i="239"/>
  <c r="O62" i="239"/>
  <c r="N62" i="239"/>
  <c r="M62" i="239"/>
  <c r="L62" i="239"/>
  <c r="K62" i="239"/>
  <c r="J62" i="239"/>
  <c r="I62" i="239"/>
  <c r="H62" i="239"/>
  <c r="G62" i="239"/>
  <c r="F62" i="239"/>
  <c r="E62" i="239"/>
  <c r="P61" i="239"/>
  <c r="O61" i="239"/>
  <c r="L61" i="239"/>
  <c r="K61" i="239"/>
  <c r="I61" i="239"/>
  <c r="H61" i="239"/>
  <c r="P60" i="239"/>
  <c r="O60" i="239"/>
  <c r="L60" i="239"/>
  <c r="K60" i="239"/>
  <c r="I60" i="239"/>
  <c r="H60" i="239"/>
  <c r="Q57" i="239"/>
  <c r="P57" i="239"/>
  <c r="O57" i="239"/>
  <c r="N57" i="239"/>
  <c r="M57" i="239"/>
  <c r="L57" i="239"/>
  <c r="K57" i="239"/>
  <c r="J57" i="239"/>
  <c r="I57" i="239"/>
  <c r="H57" i="239"/>
  <c r="G57" i="239"/>
  <c r="F57" i="239"/>
  <c r="E57" i="239"/>
  <c r="P56" i="239"/>
  <c r="O56" i="239"/>
  <c r="L56" i="239"/>
  <c r="K56" i="239"/>
  <c r="I56" i="239"/>
  <c r="H56" i="239"/>
  <c r="P55" i="239"/>
  <c r="O55" i="239"/>
  <c r="L55" i="239"/>
  <c r="K55" i="239"/>
  <c r="I55" i="239"/>
  <c r="H55" i="239"/>
  <c r="P54" i="239"/>
  <c r="O54" i="239"/>
  <c r="L54" i="239"/>
  <c r="K54" i="239"/>
  <c r="I54" i="239"/>
  <c r="H54" i="239"/>
  <c r="P53" i="239"/>
  <c r="O53" i="239"/>
  <c r="L53" i="239"/>
  <c r="K53" i="239"/>
  <c r="I53" i="239"/>
  <c r="H53" i="239"/>
  <c r="P52" i="239"/>
  <c r="O52" i="239"/>
  <c r="L52" i="239"/>
  <c r="K52" i="239"/>
  <c r="I52" i="239"/>
  <c r="H52" i="239"/>
  <c r="Q51" i="239"/>
  <c r="P51" i="239"/>
  <c r="O51" i="239"/>
  <c r="N51" i="239"/>
  <c r="L51" i="239"/>
  <c r="K51" i="239"/>
  <c r="I51" i="239"/>
  <c r="H51" i="239"/>
  <c r="P50" i="239"/>
  <c r="O50" i="239"/>
  <c r="L50" i="239"/>
  <c r="K50" i="239"/>
  <c r="I50" i="239"/>
  <c r="H50" i="239"/>
  <c r="P49" i="239"/>
  <c r="O49" i="239"/>
  <c r="L49" i="239"/>
  <c r="K49" i="239"/>
  <c r="I49" i="239"/>
  <c r="H49" i="239"/>
  <c r="Q46" i="239"/>
  <c r="P46" i="239"/>
  <c r="O46" i="239"/>
  <c r="N46" i="239"/>
  <c r="M46" i="239"/>
  <c r="L46" i="239"/>
  <c r="K46" i="239"/>
  <c r="J46" i="239"/>
  <c r="I46" i="239"/>
  <c r="H46" i="239"/>
  <c r="G46" i="239"/>
  <c r="F46" i="239"/>
  <c r="E46" i="239"/>
  <c r="P45" i="239"/>
  <c r="O45" i="239"/>
  <c r="N45" i="239"/>
  <c r="L45" i="239"/>
  <c r="K45" i="239"/>
  <c r="I45" i="239"/>
  <c r="H45" i="239"/>
  <c r="P44" i="239"/>
  <c r="O44" i="239"/>
  <c r="L44" i="239"/>
  <c r="K44" i="239"/>
  <c r="I44" i="239"/>
  <c r="H44" i="239"/>
  <c r="P43" i="239"/>
  <c r="O43" i="239"/>
  <c r="N43" i="239"/>
  <c r="L43" i="239"/>
  <c r="K43" i="239"/>
  <c r="I43" i="239"/>
  <c r="H43" i="239"/>
  <c r="P42" i="239"/>
  <c r="O42" i="239"/>
  <c r="L42" i="239"/>
  <c r="K42" i="239"/>
  <c r="I42" i="239"/>
  <c r="H42" i="239"/>
  <c r="M39" i="239"/>
  <c r="J39" i="239"/>
  <c r="G39" i="239"/>
  <c r="G200" i="239" s="1"/>
  <c r="G202" i="239" s="1"/>
  <c r="F39" i="239"/>
  <c r="F200" i="239" s="1"/>
  <c r="F202" i="239" s="1"/>
  <c r="E39" i="239"/>
  <c r="Q38" i="239"/>
  <c r="P38" i="239"/>
  <c r="O38" i="239"/>
  <c r="N38" i="239"/>
  <c r="L38" i="239"/>
  <c r="K38" i="239"/>
  <c r="I38" i="239"/>
  <c r="H38" i="239"/>
  <c r="Q37" i="239"/>
  <c r="P37" i="239"/>
  <c r="O37" i="239"/>
  <c r="N37" i="239"/>
  <c r="L37" i="239"/>
  <c r="K37" i="239"/>
  <c r="I37" i="239"/>
  <c r="H37" i="239"/>
  <c r="Q36" i="239"/>
  <c r="P36" i="239"/>
  <c r="O36" i="239"/>
  <c r="L36" i="239"/>
  <c r="K36" i="239"/>
  <c r="I36" i="239"/>
  <c r="H36" i="239"/>
  <c r="Q35" i="239"/>
  <c r="P35" i="239"/>
  <c r="O35" i="239"/>
  <c r="L35" i="239"/>
  <c r="K35" i="239"/>
  <c r="I35" i="239"/>
  <c r="H35" i="239"/>
  <c r="Q34" i="239"/>
  <c r="P34" i="239"/>
  <c r="O34" i="239"/>
  <c r="N34" i="239"/>
  <c r="L34" i="239"/>
  <c r="K34" i="239"/>
  <c r="I34" i="239"/>
  <c r="H34" i="239"/>
  <c r="Q33" i="239"/>
  <c r="P33" i="239"/>
  <c r="O33" i="239"/>
  <c r="L33" i="239"/>
  <c r="K33" i="239"/>
  <c r="I33" i="239"/>
  <c r="H33" i="239"/>
  <c r="Q32" i="239"/>
  <c r="P32" i="239"/>
  <c r="O32" i="239"/>
  <c r="L32" i="239"/>
  <c r="K32" i="239"/>
  <c r="I32" i="239"/>
  <c r="H32" i="239"/>
  <c r="Q31" i="239"/>
  <c r="P31" i="239"/>
  <c r="O31" i="239"/>
  <c r="L31" i="239"/>
  <c r="K31" i="239"/>
  <c r="I31" i="239"/>
  <c r="H31" i="239"/>
  <c r="Q30" i="239"/>
  <c r="P30" i="239"/>
  <c r="O30" i="239"/>
  <c r="L30" i="239"/>
  <c r="K30" i="239"/>
  <c r="I30" i="239"/>
  <c r="H30" i="239"/>
  <c r="Q29" i="239"/>
  <c r="P29" i="239"/>
  <c r="O29" i="239"/>
  <c r="N29" i="239"/>
  <c r="L29" i="239"/>
  <c r="K29" i="239"/>
  <c r="I29" i="239"/>
  <c r="H29" i="239"/>
  <c r="Q28" i="239"/>
  <c r="P28" i="239"/>
  <c r="O28" i="239"/>
  <c r="N28" i="239"/>
  <c r="L28" i="239"/>
  <c r="K28" i="239"/>
  <c r="I28" i="239"/>
  <c r="H28" i="239"/>
  <c r="Q27" i="239"/>
  <c r="P27" i="239"/>
  <c r="O27" i="239"/>
  <c r="N27" i="239"/>
  <c r="L27" i="239"/>
  <c r="K27" i="239"/>
  <c r="I27" i="239"/>
  <c r="H27" i="239"/>
  <c r="Q26" i="239"/>
  <c r="P26" i="239"/>
  <c r="O26" i="239"/>
  <c r="L26" i="239"/>
  <c r="K26" i="239"/>
  <c r="I26" i="239"/>
  <c r="H26" i="239"/>
  <c r="Q25" i="239"/>
  <c r="P25" i="239"/>
  <c r="O25" i="239"/>
  <c r="L25" i="239"/>
  <c r="K25" i="239"/>
  <c r="I25" i="239"/>
  <c r="H25" i="239"/>
  <c r="Q24" i="239"/>
  <c r="P24" i="239"/>
  <c r="O24" i="239"/>
  <c r="L24" i="239"/>
  <c r="K24" i="239"/>
  <c r="I24" i="239"/>
  <c r="H24" i="239"/>
  <c r="Q23" i="239"/>
  <c r="P23" i="239"/>
  <c r="O23" i="239"/>
  <c r="N23" i="239"/>
  <c r="L23" i="239"/>
  <c r="K23" i="239"/>
  <c r="I23" i="239"/>
  <c r="H23" i="239"/>
  <c r="Q22" i="239"/>
  <c r="P22" i="239"/>
  <c r="O22" i="239"/>
  <c r="N22" i="239"/>
  <c r="L22" i="239"/>
  <c r="K22" i="239"/>
  <c r="I22" i="239"/>
  <c r="H22" i="239"/>
  <c r="F22" i="239"/>
  <c r="Q21" i="239"/>
  <c r="P21" i="239"/>
  <c r="O21" i="239"/>
  <c r="L21" i="239"/>
  <c r="K21" i="239"/>
  <c r="I21" i="239"/>
  <c r="H21" i="239"/>
  <c r="Q20" i="239"/>
  <c r="P20" i="239"/>
  <c r="O20" i="239"/>
  <c r="N20" i="239"/>
  <c r="L20" i="239"/>
  <c r="K20" i="239"/>
  <c r="I20" i="239"/>
  <c r="H20" i="239"/>
  <c r="Q19" i="239"/>
  <c r="P19" i="239"/>
  <c r="O19" i="239"/>
  <c r="N19" i="239"/>
  <c r="L19" i="239"/>
  <c r="K19" i="239"/>
  <c r="I19" i="239"/>
  <c r="H19" i="239"/>
  <c r="Q18" i="239"/>
  <c r="P18" i="239"/>
  <c r="O18" i="239"/>
  <c r="L18" i="239"/>
  <c r="K18" i="239"/>
  <c r="I18" i="239"/>
  <c r="H18" i="239"/>
  <c r="Q17" i="239"/>
  <c r="P17" i="239"/>
  <c r="O17" i="239"/>
  <c r="L17" i="239"/>
  <c r="K17" i="239"/>
  <c r="I17" i="239"/>
  <c r="H17" i="239"/>
  <c r="Q16" i="239"/>
  <c r="P16" i="239"/>
  <c r="O16" i="239"/>
  <c r="L16" i="239"/>
  <c r="K16" i="239"/>
  <c r="I16" i="239"/>
  <c r="H16" i="239"/>
  <c r="Q15" i="239"/>
  <c r="P15" i="239"/>
  <c r="O15" i="239"/>
  <c r="L15" i="239"/>
  <c r="K15" i="239"/>
  <c r="I15" i="239"/>
  <c r="H15" i="239"/>
  <c r="F15" i="239"/>
  <c r="Q14" i="239"/>
  <c r="P14" i="239"/>
  <c r="O14" i="239"/>
  <c r="L14" i="239"/>
  <c r="K14" i="239"/>
  <c r="I14" i="239"/>
  <c r="H14" i="239"/>
  <c r="Q13" i="239"/>
  <c r="P13" i="239"/>
  <c r="O13" i="239"/>
  <c r="N13" i="239"/>
  <c r="L13" i="239"/>
  <c r="K13" i="239"/>
  <c r="I13" i="239"/>
  <c r="H13" i="239"/>
  <c r="O12" i="239"/>
  <c r="O39" i="239" s="1"/>
  <c r="O200" i="239" s="1"/>
  <c r="O202" i="239" s="1"/>
  <c r="N12" i="239"/>
  <c r="N39" i="239" s="1"/>
  <c r="N200" i="239" s="1"/>
  <c r="N202" i="239" s="1"/>
  <c r="I12" i="239"/>
  <c r="I39" i="239" s="1"/>
  <c r="I200" i="239" s="1"/>
  <c r="I202" i="239" s="1"/>
  <c r="H12" i="239"/>
  <c r="H39" i="239" s="1"/>
  <c r="H200" i="239" s="1"/>
  <c r="H202" i="239" s="1"/>
  <c r="G12" i="239"/>
  <c r="F12" i="239"/>
  <c r="Q11" i="239"/>
  <c r="P11" i="239"/>
  <c r="O11" i="239"/>
  <c r="N11" i="239"/>
  <c r="L11" i="239"/>
  <c r="K11" i="239"/>
  <c r="I11" i="239"/>
  <c r="H11" i="239"/>
  <c r="Q10" i="239"/>
  <c r="P10" i="239"/>
  <c r="O10" i="239"/>
  <c r="L10" i="239"/>
  <c r="I10" i="239"/>
  <c r="H10" i="239"/>
  <c r="Q9" i="239"/>
  <c r="P9" i="239"/>
  <c r="O9" i="239"/>
  <c r="L9" i="239"/>
  <c r="K9" i="239"/>
  <c r="I9" i="239"/>
  <c r="H9" i="239"/>
  <c r="Q8" i="239"/>
  <c r="P8" i="239"/>
  <c r="O8" i="239"/>
  <c r="L8" i="239"/>
  <c r="I8" i="239"/>
  <c r="H8" i="239"/>
  <c r="E3" i="239"/>
  <c r="R251" i="238"/>
  <c r="Q251" i="238"/>
  <c r="P251" i="238"/>
  <c r="O251" i="238"/>
  <c r="M251" i="238"/>
  <c r="L251" i="238"/>
  <c r="K251" i="238"/>
  <c r="J251" i="238"/>
  <c r="I251" i="238"/>
  <c r="H251" i="238"/>
  <c r="G251" i="238"/>
  <c r="E251" i="238"/>
  <c r="C251" i="238"/>
  <c r="R250" i="238"/>
  <c r="Q250" i="238"/>
  <c r="P250" i="238"/>
  <c r="O250" i="238"/>
  <c r="N250" i="238"/>
  <c r="M250" i="238"/>
  <c r="L250" i="238"/>
  <c r="K250" i="238"/>
  <c r="J250" i="238"/>
  <c r="I250" i="238"/>
  <c r="H250" i="238"/>
  <c r="G250" i="238"/>
  <c r="E250" i="238"/>
  <c r="R249" i="238"/>
  <c r="Q249" i="238"/>
  <c r="L249" i="238"/>
  <c r="K249" i="238"/>
  <c r="J249" i="238"/>
  <c r="H249" i="238"/>
  <c r="R248" i="238"/>
  <c r="Q248" i="238"/>
  <c r="P248" i="238"/>
  <c r="O248" i="238"/>
  <c r="L248" i="238"/>
  <c r="K248" i="238"/>
  <c r="J248" i="238"/>
  <c r="H248" i="238"/>
  <c r="R247" i="238"/>
  <c r="Q247" i="238"/>
  <c r="N247" i="238"/>
  <c r="L247" i="238"/>
  <c r="K247" i="238"/>
  <c r="J247" i="238"/>
  <c r="H247" i="238"/>
  <c r="R246" i="238"/>
  <c r="Q246" i="238"/>
  <c r="N246" i="238"/>
  <c r="L246" i="238"/>
  <c r="K246" i="238"/>
  <c r="J246" i="238"/>
  <c r="H246" i="238"/>
  <c r="R245" i="238"/>
  <c r="Q245" i="238"/>
  <c r="N245" i="238"/>
  <c r="L245" i="238"/>
  <c r="K245" i="238"/>
  <c r="J245" i="238"/>
  <c r="H245" i="238"/>
  <c r="R244" i="238"/>
  <c r="Q244" i="238"/>
  <c r="L244" i="238"/>
  <c r="K244" i="238"/>
  <c r="J244" i="238"/>
  <c r="H244" i="238"/>
  <c r="R243" i="238"/>
  <c r="Q243" i="238"/>
  <c r="L243" i="238"/>
  <c r="K243" i="238"/>
  <c r="J243" i="238"/>
  <c r="H243" i="238"/>
  <c r="R242" i="238"/>
  <c r="Q242" i="238"/>
  <c r="N242" i="238"/>
  <c r="L242" i="238"/>
  <c r="K242" i="238"/>
  <c r="J242" i="238"/>
  <c r="H242" i="238"/>
  <c r="R241" i="238"/>
  <c r="Q241" i="238"/>
  <c r="N241" i="238"/>
  <c r="L241" i="238"/>
  <c r="K241" i="238"/>
  <c r="J241" i="238"/>
  <c r="H241" i="238"/>
  <c r="R240" i="238"/>
  <c r="Q240" i="238"/>
  <c r="N240" i="238"/>
  <c r="L240" i="238"/>
  <c r="K240" i="238"/>
  <c r="J240" i="238"/>
  <c r="H240" i="238"/>
  <c r="R239" i="238"/>
  <c r="Q239" i="238"/>
  <c r="L239" i="238"/>
  <c r="K239" i="238"/>
  <c r="J239" i="238"/>
  <c r="H239" i="238"/>
  <c r="R238" i="238"/>
  <c r="Q238" i="238"/>
  <c r="L238" i="238"/>
  <c r="K238" i="238"/>
  <c r="J238" i="238"/>
  <c r="H238" i="238"/>
  <c r="R237" i="238"/>
  <c r="Q237" i="238"/>
  <c r="L237" i="238"/>
  <c r="K237" i="238"/>
  <c r="J237" i="238"/>
  <c r="H237" i="238"/>
  <c r="R236" i="238"/>
  <c r="Q236" i="238"/>
  <c r="L236" i="238"/>
  <c r="K236" i="238"/>
  <c r="J236" i="238"/>
  <c r="H236" i="238"/>
  <c r="R235" i="238"/>
  <c r="Q235" i="238"/>
  <c r="L235" i="238"/>
  <c r="K235" i="238"/>
  <c r="J235" i="238"/>
  <c r="H235" i="238"/>
  <c r="R234" i="238"/>
  <c r="Q234" i="238"/>
  <c r="L234" i="238"/>
  <c r="K234" i="238"/>
  <c r="J234" i="238"/>
  <c r="H234" i="238"/>
  <c r="R233" i="238"/>
  <c r="Q233" i="238"/>
  <c r="L233" i="238"/>
  <c r="K233" i="238"/>
  <c r="J233" i="238"/>
  <c r="H233" i="238"/>
  <c r="R232" i="238"/>
  <c r="Q232" i="238"/>
  <c r="N232" i="238"/>
  <c r="L232" i="238"/>
  <c r="K232" i="238"/>
  <c r="J232" i="238"/>
  <c r="H232" i="238"/>
  <c r="G232" i="238"/>
  <c r="R231" i="238"/>
  <c r="Q231" i="238"/>
  <c r="L231" i="238"/>
  <c r="K231" i="238"/>
  <c r="J231" i="238"/>
  <c r="H231" i="238"/>
  <c r="R230" i="238"/>
  <c r="Q230" i="238"/>
  <c r="L230" i="238"/>
  <c r="K230" i="238"/>
  <c r="J230" i="238"/>
  <c r="H230" i="238"/>
  <c r="R229" i="238"/>
  <c r="Q229" i="238"/>
  <c r="N229" i="238"/>
  <c r="L229" i="238"/>
  <c r="K229" i="238"/>
  <c r="J229" i="238"/>
  <c r="H229" i="238"/>
  <c r="R228" i="238"/>
  <c r="Q228" i="238"/>
  <c r="N228" i="238"/>
  <c r="L228" i="238"/>
  <c r="K228" i="238"/>
  <c r="J228" i="238"/>
  <c r="H228" i="238"/>
  <c r="R227" i="238"/>
  <c r="Q227" i="238"/>
  <c r="N227" i="238"/>
  <c r="L227" i="238"/>
  <c r="K227" i="238"/>
  <c r="J227" i="238"/>
  <c r="H227" i="238"/>
  <c r="R226" i="238"/>
  <c r="Q226" i="238"/>
  <c r="N226" i="238"/>
  <c r="L226" i="238"/>
  <c r="K226" i="238"/>
  <c r="J226" i="238"/>
  <c r="H226" i="238"/>
  <c r="R225" i="238"/>
  <c r="Q225" i="238"/>
  <c r="N225" i="238"/>
  <c r="L225" i="238"/>
  <c r="K225" i="238"/>
  <c r="J225" i="238"/>
  <c r="H225" i="238"/>
  <c r="R224" i="238"/>
  <c r="Q224" i="238"/>
  <c r="L224" i="238"/>
  <c r="K224" i="238"/>
  <c r="J224" i="238"/>
  <c r="H224" i="238"/>
  <c r="R223" i="238"/>
  <c r="Q223" i="238"/>
  <c r="O223" i="238"/>
  <c r="L223" i="238"/>
  <c r="K223" i="238"/>
  <c r="J223" i="238"/>
  <c r="H223" i="238"/>
  <c r="R222" i="238"/>
  <c r="Q222" i="238"/>
  <c r="L222" i="238"/>
  <c r="K222" i="238"/>
  <c r="J222" i="238"/>
  <c r="H222" i="238"/>
  <c r="R221" i="238"/>
  <c r="Q221" i="238"/>
  <c r="O221" i="238"/>
  <c r="N221" i="238"/>
  <c r="L221" i="238"/>
  <c r="K221" i="238"/>
  <c r="J221" i="238"/>
  <c r="H221" i="238"/>
  <c r="R220" i="238"/>
  <c r="Q220" i="238"/>
  <c r="L220" i="238"/>
  <c r="K220" i="238"/>
  <c r="J220" i="238"/>
  <c r="H220" i="238"/>
  <c r="R219" i="238"/>
  <c r="Q219" i="238"/>
  <c r="L219" i="238"/>
  <c r="K219" i="238"/>
  <c r="J219" i="238"/>
  <c r="H219" i="238"/>
  <c r="R218" i="238"/>
  <c r="Q218" i="238"/>
  <c r="L218" i="238"/>
  <c r="K218" i="238"/>
  <c r="J218" i="238"/>
  <c r="H218" i="238"/>
  <c r="R217" i="238"/>
  <c r="Q217" i="238"/>
  <c r="L217" i="238"/>
  <c r="K217" i="238"/>
  <c r="J217" i="238"/>
  <c r="H217" i="238"/>
  <c r="R216" i="238"/>
  <c r="Q216" i="238"/>
  <c r="L216" i="238"/>
  <c r="K216" i="238"/>
  <c r="J216" i="238"/>
  <c r="H216" i="238"/>
  <c r="R215" i="238"/>
  <c r="Q215" i="238"/>
  <c r="R214" i="238"/>
  <c r="Q214" i="238"/>
  <c r="L214" i="238"/>
  <c r="K214" i="238"/>
  <c r="J214" i="238"/>
  <c r="H214" i="238"/>
  <c r="R213" i="238"/>
  <c r="Q213" i="238"/>
  <c r="L213" i="238"/>
  <c r="K213" i="238"/>
  <c r="J213" i="238"/>
  <c r="H213" i="238"/>
  <c r="R212" i="238"/>
  <c r="Q212" i="238"/>
  <c r="O212" i="238"/>
  <c r="L212" i="238"/>
  <c r="K212" i="238"/>
  <c r="J212" i="238"/>
  <c r="H212" i="238"/>
  <c r="R211" i="238"/>
  <c r="Q211" i="238"/>
  <c r="O211" i="238"/>
  <c r="N211" i="238"/>
  <c r="L211" i="238"/>
  <c r="K211" i="238"/>
  <c r="J211" i="238"/>
  <c r="H211" i="238"/>
  <c r="R210" i="238"/>
  <c r="Q210" i="238"/>
  <c r="O210" i="238"/>
  <c r="L210" i="238"/>
  <c r="K210" i="238"/>
  <c r="J210" i="238"/>
  <c r="H210" i="238"/>
  <c r="R209" i="238"/>
  <c r="Q209" i="238"/>
  <c r="O209" i="238"/>
  <c r="L209" i="238"/>
  <c r="K209" i="238"/>
  <c r="J209" i="238"/>
  <c r="H209" i="238"/>
  <c r="R208" i="238"/>
  <c r="Q208" i="238"/>
  <c r="O208" i="238"/>
  <c r="L208" i="238"/>
  <c r="K208" i="238"/>
  <c r="J208" i="238"/>
  <c r="H208" i="238"/>
  <c r="R207" i="238"/>
  <c r="Q207" i="238"/>
  <c r="N207" i="238"/>
  <c r="L207" i="238"/>
  <c r="K207" i="238"/>
  <c r="J207" i="238"/>
  <c r="H207" i="238"/>
  <c r="R206" i="238"/>
  <c r="Q206" i="238"/>
  <c r="L206" i="238"/>
  <c r="K206" i="238"/>
  <c r="J206" i="238"/>
  <c r="H206" i="238"/>
  <c r="R205" i="238"/>
  <c r="Q205" i="238"/>
  <c r="L205" i="238"/>
  <c r="K205" i="238"/>
  <c r="J205" i="238"/>
  <c r="H205" i="238"/>
  <c r="R204" i="238"/>
  <c r="Q204" i="238"/>
  <c r="O204" i="238"/>
  <c r="L204" i="238"/>
  <c r="K204" i="238"/>
  <c r="J204" i="238"/>
  <c r="H204" i="238"/>
  <c r="R203" i="238"/>
  <c r="Q203" i="238"/>
  <c r="N203" i="238"/>
  <c r="L203" i="238"/>
  <c r="K203" i="238"/>
  <c r="J203" i="238"/>
  <c r="H203" i="238"/>
  <c r="R202" i="238"/>
  <c r="Q202" i="238"/>
  <c r="O202" i="238"/>
  <c r="L202" i="238"/>
  <c r="K202" i="238"/>
  <c r="J202" i="238"/>
  <c r="H202" i="238"/>
  <c r="R201" i="238"/>
  <c r="Q201" i="238"/>
  <c r="O201" i="238"/>
  <c r="L201" i="238"/>
  <c r="K201" i="238"/>
  <c r="J201" i="238"/>
  <c r="H201" i="238"/>
  <c r="R200" i="238"/>
  <c r="Q200" i="238"/>
  <c r="L200" i="238"/>
  <c r="K200" i="238"/>
  <c r="J200" i="238"/>
  <c r="H200" i="238"/>
  <c r="R199" i="238"/>
  <c r="Q199" i="238"/>
  <c r="O199" i="238"/>
  <c r="N199" i="238"/>
  <c r="L199" i="238"/>
  <c r="K199" i="238"/>
  <c r="J199" i="238"/>
  <c r="H199" i="238"/>
  <c r="R198" i="238"/>
  <c r="Q198" i="238"/>
  <c r="O198" i="238"/>
  <c r="L198" i="238"/>
  <c r="K198" i="238"/>
  <c r="J198" i="238"/>
  <c r="H198" i="238"/>
  <c r="R197" i="238"/>
  <c r="Q197" i="238"/>
  <c r="L197" i="238"/>
  <c r="K197" i="238"/>
  <c r="J197" i="238"/>
  <c r="H197" i="238"/>
  <c r="R196" i="238"/>
  <c r="Q196" i="238"/>
  <c r="O196" i="238"/>
  <c r="L196" i="238"/>
  <c r="K196" i="238"/>
  <c r="J196" i="238"/>
  <c r="H196" i="238"/>
  <c r="R195" i="238"/>
  <c r="Q195" i="238"/>
  <c r="O195" i="238"/>
  <c r="L195" i="238"/>
  <c r="K195" i="238"/>
  <c r="J195" i="238"/>
  <c r="H195" i="238"/>
  <c r="R194" i="238"/>
  <c r="Q194" i="238"/>
  <c r="L194" i="238"/>
  <c r="K194" i="238"/>
  <c r="J194" i="238"/>
  <c r="H194" i="238"/>
  <c r="R193" i="238"/>
  <c r="Q193" i="238"/>
  <c r="O193" i="238"/>
  <c r="L193" i="238"/>
  <c r="K193" i="238"/>
  <c r="J193" i="238"/>
  <c r="H193" i="238"/>
  <c r="R192" i="238"/>
  <c r="Q192" i="238"/>
  <c r="O192" i="238"/>
  <c r="L192" i="238"/>
  <c r="K192" i="238"/>
  <c r="J192" i="238"/>
  <c r="H192" i="238"/>
  <c r="R191" i="238"/>
  <c r="Q191" i="238"/>
  <c r="L191" i="238"/>
  <c r="K191" i="238"/>
  <c r="J191" i="238"/>
  <c r="H191" i="238"/>
  <c r="R190" i="238"/>
  <c r="Q190" i="238"/>
  <c r="L190" i="238"/>
  <c r="K190" i="238"/>
  <c r="J190" i="238"/>
  <c r="H190" i="238"/>
  <c r="R189" i="238"/>
  <c r="Q189" i="238"/>
  <c r="L189" i="238"/>
  <c r="K189" i="238"/>
  <c r="J189" i="238"/>
  <c r="H189" i="238"/>
  <c r="R188" i="238"/>
  <c r="Q188" i="238"/>
  <c r="L188" i="238"/>
  <c r="K188" i="238"/>
  <c r="J188" i="238"/>
  <c r="H188" i="238"/>
  <c r="R187" i="238"/>
  <c r="Q187" i="238"/>
  <c r="O187" i="238"/>
  <c r="L187" i="238"/>
  <c r="K187" i="238"/>
  <c r="J187" i="238"/>
  <c r="H187" i="238"/>
  <c r="R186" i="238"/>
  <c r="Q186" i="238"/>
  <c r="O186" i="238"/>
  <c r="L186" i="238"/>
  <c r="K186" i="238"/>
  <c r="J186" i="238"/>
  <c r="H186" i="238"/>
  <c r="R185" i="238"/>
  <c r="Q185" i="238"/>
  <c r="O185" i="238"/>
  <c r="L185" i="238"/>
  <c r="K185" i="238"/>
  <c r="J185" i="238"/>
  <c r="H185" i="238"/>
  <c r="R184" i="238"/>
  <c r="Q184" i="238"/>
  <c r="O184" i="238"/>
  <c r="L184" i="238"/>
  <c r="K184" i="238"/>
  <c r="J184" i="238"/>
  <c r="H184" i="238"/>
  <c r="R183" i="238"/>
  <c r="Q183" i="238"/>
  <c r="O183" i="238"/>
  <c r="L183" i="238"/>
  <c r="K183" i="238"/>
  <c r="J183" i="238"/>
  <c r="H183" i="238"/>
  <c r="R180" i="238"/>
  <c r="Q180" i="238"/>
  <c r="P180" i="238"/>
  <c r="O180" i="238"/>
  <c r="N180" i="238"/>
  <c r="M180" i="238"/>
  <c r="L180" i="238"/>
  <c r="K180" i="238"/>
  <c r="J180" i="238"/>
  <c r="I180" i="238"/>
  <c r="H180" i="238"/>
  <c r="G180" i="238"/>
  <c r="E180" i="238"/>
  <c r="R179" i="238"/>
  <c r="Q179" i="238"/>
  <c r="O179" i="238"/>
  <c r="L179" i="238"/>
  <c r="K179" i="238"/>
  <c r="J179" i="238"/>
  <c r="H179" i="238"/>
  <c r="R178" i="238"/>
  <c r="Q178" i="238"/>
  <c r="O178" i="238"/>
  <c r="L178" i="238"/>
  <c r="K178" i="238"/>
  <c r="J178" i="238"/>
  <c r="H178" i="238"/>
  <c r="R177" i="238"/>
  <c r="Q177" i="238"/>
  <c r="O177" i="238"/>
  <c r="L177" i="238"/>
  <c r="K177" i="238"/>
  <c r="J177" i="238"/>
  <c r="H177" i="238"/>
  <c r="R176" i="238"/>
  <c r="Q176" i="238"/>
  <c r="N176" i="238"/>
  <c r="L176" i="238"/>
  <c r="K176" i="238"/>
  <c r="J176" i="238"/>
  <c r="H176" i="238"/>
  <c r="R175" i="238"/>
  <c r="Q175" i="238"/>
  <c r="L175" i="238"/>
  <c r="K175" i="238"/>
  <c r="J175" i="238"/>
  <c r="H175" i="238"/>
  <c r="R174" i="238"/>
  <c r="Q174" i="238"/>
  <c r="O174" i="238"/>
  <c r="L174" i="238"/>
  <c r="K174" i="238"/>
  <c r="J174" i="238"/>
  <c r="H174" i="238"/>
  <c r="R173" i="238"/>
  <c r="Q173" i="238"/>
  <c r="O173" i="238"/>
  <c r="L173" i="238"/>
  <c r="K173" i="238"/>
  <c r="J173" i="238"/>
  <c r="H173" i="238"/>
  <c r="R172" i="238"/>
  <c r="Q172" i="238"/>
  <c r="L172" i="238"/>
  <c r="K172" i="238"/>
  <c r="J172" i="238"/>
  <c r="H172" i="238"/>
  <c r="R171" i="238"/>
  <c r="Q171" i="238"/>
  <c r="L171" i="238"/>
  <c r="K171" i="238"/>
  <c r="J171" i="238"/>
  <c r="H171" i="238"/>
  <c r="R170" i="238"/>
  <c r="Q170" i="238"/>
  <c r="O170" i="238"/>
  <c r="L170" i="238"/>
  <c r="K170" i="238"/>
  <c r="J170" i="238"/>
  <c r="H170" i="238"/>
  <c r="R169" i="238"/>
  <c r="Q169" i="238"/>
  <c r="O169" i="238"/>
  <c r="L169" i="238"/>
  <c r="K169" i="238"/>
  <c r="J169" i="238"/>
  <c r="H169" i="238"/>
  <c r="R168" i="238"/>
  <c r="Q168" i="238"/>
  <c r="O168" i="238"/>
  <c r="L168" i="238"/>
  <c r="K168" i="238"/>
  <c r="J168" i="238"/>
  <c r="H168" i="238"/>
  <c r="R165" i="238"/>
  <c r="Q165" i="238"/>
  <c r="P165" i="238"/>
  <c r="O165" i="238"/>
  <c r="N165" i="238"/>
  <c r="M165" i="238"/>
  <c r="L165" i="238"/>
  <c r="K165" i="238"/>
  <c r="J165" i="238"/>
  <c r="I165" i="238"/>
  <c r="H165" i="238"/>
  <c r="G165" i="238"/>
  <c r="E165" i="238"/>
  <c r="R164" i="238"/>
  <c r="Q164" i="238"/>
  <c r="L164" i="238"/>
  <c r="K164" i="238"/>
  <c r="J164" i="238"/>
  <c r="H164" i="238"/>
  <c r="R163" i="238"/>
  <c r="Q163" i="238"/>
  <c r="L163" i="238"/>
  <c r="K163" i="238"/>
  <c r="J163" i="238"/>
  <c r="H163" i="238"/>
  <c r="R162" i="238"/>
  <c r="Q162" i="238"/>
  <c r="L162" i="238"/>
  <c r="K162" i="238"/>
  <c r="J162" i="238"/>
  <c r="H162" i="238"/>
  <c r="R161" i="238"/>
  <c r="Q161" i="238"/>
  <c r="L161" i="238"/>
  <c r="K161" i="238"/>
  <c r="J161" i="238"/>
  <c r="H161" i="238"/>
  <c r="R160" i="238"/>
  <c r="Q160" i="238"/>
  <c r="L160" i="238"/>
  <c r="K160" i="238"/>
  <c r="J160" i="238"/>
  <c r="H160" i="238"/>
  <c r="R157" i="238"/>
  <c r="Q157" i="238"/>
  <c r="P157" i="238"/>
  <c r="O157" i="238"/>
  <c r="N157" i="238"/>
  <c r="M157" i="238"/>
  <c r="L157" i="238"/>
  <c r="K157" i="238"/>
  <c r="J157" i="238"/>
  <c r="I157" i="238"/>
  <c r="H157" i="238"/>
  <c r="G157" i="238"/>
  <c r="E157" i="238"/>
  <c r="R156" i="238"/>
  <c r="Q156" i="238"/>
  <c r="O156" i="238"/>
  <c r="L156" i="238"/>
  <c r="K156" i="238"/>
  <c r="J156" i="238"/>
  <c r="H156" i="238"/>
  <c r="R155" i="238"/>
  <c r="Q155" i="238"/>
  <c r="O155" i="238"/>
  <c r="L155" i="238"/>
  <c r="K155" i="238"/>
  <c r="J155" i="238"/>
  <c r="H155" i="238"/>
  <c r="R154" i="238"/>
  <c r="Q154" i="238"/>
  <c r="O154" i="238"/>
  <c r="L154" i="238"/>
  <c r="K154" i="238"/>
  <c r="J154" i="238"/>
  <c r="H154" i="238"/>
  <c r="R153" i="238"/>
  <c r="Q153" i="238"/>
  <c r="O153" i="238"/>
  <c r="L153" i="238"/>
  <c r="K153" i="238"/>
  <c r="J153" i="238"/>
  <c r="H153" i="238"/>
  <c r="R152" i="238"/>
  <c r="Q152" i="238"/>
  <c r="O152" i="238"/>
  <c r="L152" i="238"/>
  <c r="K152" i="238"/>
  <c r="J152" i="238"/>
  <c r="H152" i="238"/>
  <c r="R151" i="238"/>
  <c r="Q151" i="238"/>
  <c r="L151" i="238"/>
  <c r="K151" i="238"/>
  <c r="H151" i="238"/>
  <c r="R150" i="238"/>
  <c r="Q150" i="238"/>
  <c r="O150" i="238"/>
  <c r="N150" i="238"/>
  <c r="L150" i="238"/>
  <c r="K150" i="238"/>
  <c r="J150" i="238"/>
  <c r="H150" i="238"/>
  <c r="G150" i="238"/>
  <c r="R149" i="238"/>
  <c r="Q149" i="238"/>
  <c r="L149" i="238"/>
  <c r="K149" i="238"/>
  <c r="J149" i="238"/>
  <c r="H149" i="238"/>
  <c r="R146" i="238"/>
  <c r="Q146" i="238"/>
  <c r="P146" i="238"/>
  <c r="O146" i="238"/>
  <c r="N146" i="238"/>
  <c r="M146" i="238"/>
  <c r="L146" i="238"/>
  <c r="K146" i="238"/>
  <c r="J146" i="238"/>
  <c r="I146" i="238"/>
  <c r="H146" i="238"/>
  <c r="G146" i="238"/>
  <c r="E146" i="238"/>
  <c r="R145" i="238"/>
  <c r="Q145" i="238"/>
  <c r="L145" i="238"/>
  <c r="K145" i="238"/>
  <c r="J145" i="238"/>
  <c r="H145" i="238"/>
  <c r="R144" i="238"/>
  <c r="Q144" i="238"/>
  <c r="L144" i="238"/>
  <c r="K144" i="238"/>
  <c r="J144" i="238"/>
  <c r="H144" i="238"/>
  <c r="R143" i="238"/>
  <c r="Q143" i="238"/>
  <c r="L143" i="238"/>
  <c r="K143" i="238"/>
  <c r="J143" i="238"/>
  <c r="H143" i="238"/>
  <c r="R142" i="238"/>
  <c r="Q142" i="238"/>
  <c r="O142" i="238"/>
  <c r="N142" i="238"/>
  <c r="L142" i="238"/>
  <c r="K142" i="238"/>
  <c r="J142" i="238"/>
  <c r="H142" i="238"/>
  <c r="R141" i="238"/>
  <c r="Q141" i="238"/>
  <c r="L141" i="238"/>
  <c r="K141" i="238"/>
  <c r="J141" i="238"/>
  <c r="H141" i="238"/>
  <c r="R140" i="238"/>
  <c r="Q140" i="238"/>
  <c r="N140" i="238"/>
  <c r="L140" i="238"/>
  <c r="K140" i="238"/>
  <c r="J140" i="238"/>
  <c r="H140" i="238"/>
  <c r="G140" i="238"/>
  <c r="R139" i="238"/>
  <c r="Q139" i="238"/>
  <c r="L139" i="238"/>
  <c r="K139" i="238"/>
  <c r="J139" i="238"/>
  <c r="H139" i="238"/>
  <c r="R138" i="238"/>
  <c r="Q138" i="238"/>
  <c r="L138" i="238"/>
  <c r="K138" i="238"/>
  <c r="J138" i="238"/>
  <c r="H138" i="238"/>
  <c r="R137" i="238"/>
  <c r="Q137" i="238"/>
  <c r="O137" i="238"/>
  <c r="L137" i="238"/>
  <c r="K137" i="238"/>
  <c r="J137" i="238"/>
  <c r="H137" i="238"/>
  <c r="R136" i="238"/>
  <c r="Q136" i="238"/>
  <c r="O136" i="238"/>
  <c r="L136" i="238"/>
  <c r="K136" i="238"/>
  <c r="J136" i="238"/>
  <c r="H136" i="238"/>
  <c r="R135" i="238"/>
  <c r="Q135" i="238"/>
  <c r="L135" i="238"/>
  <c r="K135" i="238"/>
  <c r="J135" i="238"/>
  <c r="H135" i="238"/>
  <c r="Q134" i="238"/>
  <c r="Q133" i="238"/>
  <c r="R132" i="238"/>
  <c r="Q132" i="238"/>
  <c r="P132" i="238"/>
  <c r="O132" i="238"/>
  <c r="N132" i="238"/>
  <c r="M132" i="238"/>
  <c r="L132" i="238"/>
  <c r="K132" i="238"/>
  <c r="J132" i="238"/>
  <c r="I132" i="238"/>
  <c r="H132" i="238"/>
  <c r="G132" i="238"/>
  <c r="E132" i="238"/>
  <c r="R131" i="238"/>
  <c r="Q131" i="238"/>
  <c r="L131" i="238"/>
  <c r="K131" i="238"/>
  <c r="J131" i="238"/>
  <c r="H131" i="238"/>
  <c r="R130" i="238"/>
  <c r="Q130" i="238"/>
  <c r="L130" i="238"/>
  <c r="K130" i="238"/>
  <c r="J130" i="238"/>
  <c r="H130" i="238"/>
  <c r="R129" i="238"/>
  <c r="Q129" i="238"/>
  <c r="L129" i="238"/>
  <c r="K129" i="238"/>
  <c r="J129" i="238"/>
  <c r="H129" i="238"/>
  <c r="R128" i="238"/>
  <c r="Q128" i="238"/>
  <c r="O128" i="238"/>
  <c r="L128" i="238"/>
  <c r="K128" i="238"/>
  <c r="J128" i="238"/>
  <c r="H128" i="238"/>
  <c r="R127" i="238"/>
  <c r="Q127" i="238"/>
  <c r="O127" i="238"/>
  <c r="N127" i="238"/>
  <c r="L127" i="238"/>
  <c r="K127" i="238"/>
  <c r="J127" i="238"/>
  <c r="H127" i="238"/>
  <c r="R126" i="238"/>
  <c r="Q126" i="238"/>
  <c r="L126" i="238"/>
  <c r="K126" i="238"/>
  <c r="J126" i="238"/>
  <c r="H126" i="238"/>
  <c r="R125" i="238"/>
  <c r="Q125" i="238"/>
  <c r="O125" i="238"/>
  <c r="L125" i="238"/>
  <c r="K125" i="238"/>
  <c r="J125" i="238"/>
  <c r="H125" i="238"/>
  <c r="Q124" i="238"/>
  <c r="Q123" i="238"/>
  <c r="R122" i="238"/>
  <c r="Q122" i="238"/>
  <c r="P122" i="238"/>
  <c r="O122" i="238"/>
  <c r="M122" i="238"/>
  <c r="L122" i="238"/>
  <c r="K122" i="238"/>
  <c r="J122" i="238"/>
  <c r="I122" i="238"/>
  <c r="H122" i="238"/>
  <c r="G122" i="238"/>
  <c r="E122" i="238"/>
  <c r="R121" i="238"/>
  <c r="Q121" i="238"/>
  <c r="O121" i="238"/>
  <c r="N121" i="238"/>
  <c r="L121" i="238"/>
  <c r="K121" i="238"/>
  <c r="J121" i="238"/>
  <c r="H121" i="238"/>
  <c r="G121" i="238"/>
  <c r="R120" i="238"/>
  <c r="Q120" i="238"/>
  <c r="L120" i="238"/>
  <c r="K120" i="238"/>
  <c r="J120" i="238"/>
  <c r="H120" i="238"/>
  <c r="R119" i="238"/>
  <c r="Q119" i="238"/>
  <c r="L119" i="238"/>
  <c r="K119" i="238"/>
  <c r="J119" i="238"/>
  <c r="H119" i="238"/>
  <c r="R118" i="238"/>
  <c r="Q118" i="238"/>
  <c r="L118" i="238"/>
  <c r="K118" i="238"/>
  <c r="J118" i="238"/>
  <c r="H118" i="238"/>
  <c r="R117" i="238"/>
  <c r="Q117" i="238"/>
  <c r="L117" i="238"/>
  <c r="K117" i="238"/>
  <c r="J117" i="238"/>
  <c r="H117" i="238"/>
  <c r="R116" i="238"/>
  <c r="Q116" i="238"/>
  <c r="O116" i="238"/>
  <c r="N116" i="238"/>
  <c r="L116" i="238"/>
  <c r="K116" i="238"/>
  <c r="J116" i="238"/>
  <c r="H116" i="238"/>
  <c r="G116" i="238"/>
  <c r="R115" i="238"/>
  <c r="Q115" i="238"/>
  <c r="L115" i="238"/>
  <c r="K115" i="238"/>
  <c r="J115" i="238"/>
  <c r="H115" i="238"/>
  <c r="R114" i="238"/>
  <c r="Q114" i="238"/>
  <c r="L114" i="238"/>
  <c r="K114" i="238"/>
  <c r="J114" i="238"/>
  <c r="H114" i="238"/>
  <c r="R113" i="238"/>
  <c r="Q113" i="238"/>
  <c r="O113" i="238"/>
  <c r="L113" i="238"/>
  <c r="K113" i="238"/>
  <c r="J113" i="238"/>
  <c r="H113" i="238"/>
  <c r="R112" i="238"/>
  <c r="Q112" i="238"/>
  <c r="O112" i="238"/>
  <c r="L112" i="238"/>
  <c r="K112" i="238"/>
  <c r="J112" i="238"/>
  <c r="H112" i="238"/>
  <c r="R111" i="238"/>
  <c r="Q111" i="238"/>
  <c r="L111" i="238"/>
  <c r="K111" i="238"/>
  <c r="J111" i="238"/>
  <c r="H111" i="238"/>
  <c r="R110" i="238"/>
  <c r="Q110" i="238"/>
  <c r="N110" i="238"/>
  <c r="N122" i="238" s="1"/>
  <c r="N251" i="238" s="1"/>
  <c r="L110" i="238"/>
  <c r="K110" i="238"/>
  <c r="J110" i="238"/>
  <c r="H110" i="238"/>
  <c r="R109" i="238"/>
  <c r="Q109" i="238"/>
  <c r="O109" i="238"/>
  <c r="L109" i="238"/>
  <c r="K109" i="238"/>
  <c r="J109" i="238"/>
  <c r="H109" i="238"/>
  <c r="Q108" i="238"/>
  <c r="Q107" i="238"/>
  <c r="R106" i="238"/>
  <c r="Q106" i="238"/>
  <c r="P106" i="238"/>
  <c r="O106" i="238"/>
  <c r="N106" i="238"/>
  <c r="M106" i="238"/>
  <c r="L106" i="238"/>
  <c r="K106" i="238"/>
  <c r="J106" i="238"/>
  <c r="I106" i="238"/>
  <c r="H106" i="238"/>
  <c r="G106" i="238"/>
  <c r="E106" i="238"/>
  <c r="R105" i="238"/>
  <c r="Q105" i="238"/>
  <c r="L105" i="238"/>
  <c r="K105" i="238"/>
  <c r="J105" i="238"/>
  <c r="H105" i="238"/>
  <c r="R104" i="238"/>
  <c r="Q104" i="238"/>
  <c r="L104" i="238"/>
  <c r="K104" i="238"/>
  <c r="J104" i="238"/>
  <c r="H104" i="238"/>
  <c r="R103" i="238"/>
  <c r="Q103" i="238"/>
  <c r="O103" i="238"/>
  <c r="L103" i="238"/>
  <c r="K103" i="238"/>
  <c r="J103" i="238"/>
  <c r="H103" i="238"/>
  <c r="R102" i="238"/>
  <c r="Q102" i="238"/>
  <c r="L102" i="238"/>
  <c r="K102" i="238"/>
  <c r="J102" i="238"/>
  <c r="H102" i="238"/>
  <c r="R101" i="238"/>
  <c r="Q101" i="238"/>
  <c r="O101" i="238"/>
  <c r="L101" i="238"/>
  <c r="K101" i="238"/>
  <c r="J101" i="238"/>
  <c r="H101" i="238"/>
  <c r="R100" i="238"/>
  <c r="Q100" i="238"/>
  <c r="L100" i="238"/>
  <c r="K100" i="238"/>
  <c r="J100" i="238"/>
  <c r="H100" i="238"/>
  <c r="R99" i="238"/>
  <c r="Q99" i="238"/>
  <c r="O99" i="238"/>
  <c r="L99" i="238"/>
  <c r="K99" i="238"/>
  <c r="J99" i="238"/>
  <c r="H99" i="238"/>
  <c r="R98" i="238"/>
  <c r="Q98" i="238"/>
  <c r="O98" i="238"/>
  <c r="L98" i="238"/>
  <c r="K98" i="238"/>
  <c r="J98" i="238"/>
  <c r="H98" i="238"/>
  <c r="G98" i="238"/>
  <c r="R97" i="238"/>
  <c r="Q97" i="238"/>
  <c r="L97" i="238"/>
  <c r="K97" i="238"/>
  <c r="J97" i="238"/>
  <c r="H97" i="238"/>
  <c r="R96" i="238"/>
  <c r="Q96" i="238"/>
  <c r="L96" i="238"/>
  <c r="K96" i="238"/>
  <c r="J96" i="238"/>
  <c r="H96" i="238"/>
  <c r="R95" i="238"/>
  <c r="Q95" i="238"/>
  <c r="L95" i="238"/>
  <c r="K95" i="238"/>
  <c r="J95" i="238"/>
  <c r="H95" i="238"/>
  <c r="R92" i="238"/>
  <c r="Q92" i="238"/>
  <c r="P92" i="238"/>
  <c r="O92" i="238"/>
  <c r="N92" i="238"/>
  <c r="M92" i="238"/>
  <c r="L92" i="238"/>
  <c r="K92" i="238"/>
  <c r="J92" i="238"/>
  <c r="I92" i="238"/>
  <c r="H92" i="238"/>
  <c r="G92" i="238"/>
  <c r="E92" i="238"/>
  <c r="R91" i="238"/>
  <c r="Q91" i="238"/>
  <c r="L91" i="238"/>
  <c r="K91" i="238"/>
  <c r="J91" i="238"/>
  <c r="H91" i="238"/>
  <c r="R90" i="238"/>
  <c r="Q90" i="238"/>
  <c r="O90" i="238"/>
  <c r="L90" i="238"/>
  <c r="K90" i="238"/>
  <c r="J90" i="238"/>
  <c r="H90" i="238"/>
  <c r="R89" i="238"/>
  <c r="Q89" i="238"/>
  <c r="O89" i="238"/>
  <c r="L89" i="238"/>
  <c r="K89" i="238"/>
  <c r="J89" i="238"/>
  <c r="H89" i="238"/>
  <c r="R88" i="238"/>
  <c r="Q88" i="238"/>
  <c r="L88" i="238"/>
  <c r="K88" i="238"/>
  <c r="J88" i="238"/>
  <c r="H88" i="238"/>
  <c r="R87" i="238"/>
  <c r="Q87" i="238"/>
  <c r="L87" i="238"/>
  <c r="K87" i="238"/>
  <c r="J87" i="238"/>
  <c r="H87" i="238"/>
  <c r="R86" i="238"/>
  <c r="Q86" i="238"/>
  <c r="L86" i="238"/>
  <c r="K86" i="238"/>
  <c r="J86" i="238"/>
  <c r="H86" i="238"/>
  <c r="R85" i="238"/>
  <c r="Q85" i="238"/>
  <c r="P85" i="238"/>
  <c r="O85" i="238"/>
  <c r="L85" i="238"/>
  <c r="K85" i="238"/>
  <c r="J85" i="238"/>
  <c r="H85" i="238"/>
  <c r="R84" i="238"/>
  <c r="Q84" i="238"/>
  <c r="O84" i="238"/>
  <c r="L84" i="238"/>
  <c r="K84" i="238"/>
  <c r="J84" i="238"/>
  <c r="H84" i="238"/>
  <c r="R83" i="238"/>
  <c r="Q83" i="238"/>
  <c r="O83" i="238"/>
  <c r="L83" i="238"/>
  <c r="K83" i="238"/>
  <c r="J83" i="238"/>
  <c r="H83" i="238"/>
  <c r="R82" i="238"/>
  <c r="Q82" i="238"/>
  <c r="L82" i="238"/>
  <c r="K82" i="238"/>
  <c r="J82" i="238"/>
  <c r="H82" i="238"/>
  <c r="R81" i="238"/>
  <c r="Q81" i="238"/>
  <c r="O81" i="238"/>
  <c r="L81" i="238"/>
  <c r="K81" i="238"/>
  <c r="J81" i="238"/>
  <c r="H81" i="238"/>
  <c r="P78" i="238"/>
  <c r="L78" i="238"/>
  <c r="K78" i="238"/>
  <c r="J78" i="238"/>
  <c r="I78" i="238"/>
  <c r="H78" i="238"/>
  <c r="G78" i="238"/>
  <c r="E78" i="238"/>
  <c r="R77" i="238"/>
  <c r="Q77" i="238"/>
  <c r="L77" i="238"/>
  <c r="K77" i="238"/>
  <c r="H77" i="238"/>
  <c r="R76" i="238"/>
  <c r="Q76" i="238"/>
  <c r="L76" i="238"/>
  <c r="K76" i="238"/>
  <c r="H76" i="238"/>
  <c r="R73" i="238"/>
  <c r="Q73" i="238"/>
  <c r="P73" i="238"/>
  <c r="O73" i="238"/>
  <c r="N73" i="238"/>
  <c r="M73" i="238"/>
  <c r="L73" i="238"/>
  <c r="K73" i="238"/>
  <c r="J73" i="238"/>
  <c r="I73" i="238"/>
  <c r="H73" i="238"/>
  <c r="G73" i="238"/>
  <c r="E73" i="238"/>
  <c r="R72" i="238"/>
  <c r="Q72" i="238"/>
  <c r="L72" i="238"/>
  <c r="K72" i="238"/>
  <c r="J72" i="238"/>
  <c r="H72" i="238"/>
  <c r="R71" i="238"/>
  <c r="Q71" i="238"/>
  <c r="L71" i="238"/>
  <c r="K71" i="238"/>
  <c r="J71" i="238"/>
  <c r="H71" i="238"/>
  <c r="R70" i="238"/>
  <c r="Q70" i="238"/>
  <c r="L70" i="238"/>
  <c r="K70" i="238"/>
  <c r="J70" i="238"/>
  <c r="H70" i="238"/>
  <c r="R69" i="238"/>
  <c r="Q69" i="238"/>
  <c r="L69" i="238"/>
  <c r="K69" i="238"/>
  <c r="J69" i="238"/>
  <c r="H69" i="238"/>
  <c r="R68" i="238"/>
  <c r="Q68" i="238"/>
  <c r="L68" i="238"/>
  <c r="K68" i="238"/>
  <c r="J68" i="238"/>
  <c r="H68" i="238"/>
  <c r="G68" i="238"/>
  <c r="R67" i="238"/>
  <c r="Q67" i="238"/>
  <c r="L67" i="238"/>
  <c r="K67" i="238"/>
  <c r="J67" i="238"/>
  <c r="H67" i="238"/>
  <c r="R66" i="238"/>
  <c r="Q66" i="238"/>
  <c r="L66" i="238"/>
  <c r="K66" i="238"/>
  <c r="J66" i="238"/>
  <c r="H66" i="238"/>
  <c r="R65" i="238"/>
  <c r="Q65" i="238"/>
  <c r="L65" i="238"/>
  <c r="K65" i="238"/>
  <c r="J65" i="238"/>
  <c r="H65" i="238"/>
  <c r="R64" i="238"/>
  <c r="Q64" i="238"/>
  <c r="L64" i="238"/>
  <c r="K64" i="238"/>
  <c r="J64" i="238"/>
  <c r="H64" i="238"/>
  <c r="R63" i="238"/>
  <c r="Q63" i="238"/>
  <c r="O63" i="238"/>
  <c r="L63" i="238"/>
  <c r="K63" i="238"/>
  <c r="J63" i="238"/>
  <c r="H63" i="238"/>
  <c r="R62" i="238"/>
  <c r="Q62" i="238"/>
  <c r="L62" i="238"/>
  <c r="K62" i="238"/>
  <c r="J62" i="238"/>
  <c r="H62" i="238"/>
  <c r="R61" i="238"/>
  <c r="Q61" i="238"/>
  <c r="L61" i="238"/>
  <c r="K61" i="238"/>
  <c r="J61" i="238"/>
  <c r="H61" i="238"/>
  <c r="R58" i="238"/>
  <c r="Q58" i="238"/>
  <c r="P58" i="238"/>
  <c r="O58" i="238"/>
  <c r="N58" i="238"/>
  <c r="M58" i="238"/>
  <c r="L58" i="238"/>
  <c r="K58" i="238"/>
  <c r="J58" i="238"/>
  <c r="I58" i="238"/>
  <c r="H58" i="238"/>
  <c r="G58" i="238"/>
  <c r="E58" i="238"/>
  <c r="R57" i="238"/>
  <c r="Q57" i="238"/>
  <c r="L57" i="238"/>
  <c r="K57" i="238"/>
  <c r="J57" i="238"/>
  <c r="H57" i="238"/>
  <c r="R56" i="238"/>
  <c r="Q56" i="238"/>
  <c r="O56" i="238"/>
  <c r="L56" i="238"/>
  <c r="K56" i="238"/>
  <c r="J56" i="238"/>
  <c r="H56" i="238"/>
  <c r="R55" i="238"/>
  <c r="Q55" i="238"/>
  <c r="O55" i="238"/>
  <c r="L55" i="238"/>
  <c r="K55" i="238"/>
  <c r="J55" i="238"/>
  <c r="H55" i="238"/>
  <c r="R54" i="238"/>
  <c r="Q54" i="238"/>
  <c r="L54" i="238"/>
  <c r="K54" i="238"/>
  <c r="J54" i="238"/>
  <c r="H54" i="238"/>
  <c r="R53" i="238"/>
  <c r="Q53" i="238"/>
  <c r="O53" i="238"/>
  <c r="L53" i="238"/>
  <c r="K53" i="238"/>
  <c r="J53" i="238"/>
  <c r="H53" i="238"/>
  <c r="R52" i="238"/>
  <c r="Q52" i="238"/>
  <c r="L52" i="238"/>
  <c r="K52" i="238"/>
  <c r="J52" i="238"/>
  <c r="H52" i="238"/>
  <c r="R51" i="238"/>
  <c r="Q51" i="238"/>
  <c r="L51" i="238"/>
  <c r="K51" i="238"/>
  <c r="J51" i="238"/>
  <c r="H51" i="238"/>
  <c r="R48" i="238"/>
  <c r="Q48" i="238"/>
  <c r="P48" i="238"/>
  <c r="O48" i="238"/>
  <c r="N48" i="238"/>
  <c r="M48" i="238"/>
  <c r="L48" i="238"/>
  <c r="K48" i="238"/>
  <c r="J48" i="238"/>
  <c r="I48" i="238"/>
  <c r="H48" i="238"/>
  <c r="G48" i="238"/>
  <c r="E48" i="238"/>
  <c r="R47" i="238"/>
  <c r="Q47" i="238"/>
  <c r="L47" i="238"/>
  <c r="K47" i="238"/>
  <c r="J47" i="238"/>
  <c r="H47" i="238"/>
  <c r="R46" i="238"/>
  <c r="Q46" i="238"/>
  <c r="L46" i="238"/>
  <c r="K46" i="238"/>
  <c r="J46" i="238"/>
  <c r="H46" i="238"/>
  <c r="R45" i="238"/>
  <c r="Q45" i="238"/>
  <c r="L45" i="238"/>
  <c r="K45" i="238"/>
  <c r="J45" i="238"/>
  <c r="H45" i="238"/>
  <c r="R44" i="238"/>
  <c r="Q44" i="238"/>
  <c r="L44" i="238"/>
  <c r="K44" i="238"/>
  <c r="J44" i="238"/>
  <c r="H44" i="238"/>
  <c r="R43" i="238"/>
  <c r="Q43" i="238"/>
  <c r="L43" i="238"/>
  <c r="K43" i="238"/>
  <c r="J43" i="238"/>
  <c r="H43" i="238"/>
  <c r="R42" i="238"/>
  <c r="Q42" i="238"/>
  <c r="P42" i="238"/>
  <c r="O42" i="238"/>
  <c r="L42" i="238"/>
  <c r="K42" i="238"/>
  <c r="J42" i="238"/>
  <c r="H42" i="238"/>
  <c r="R41" i="238"/>
  <c r="Q41" i="238"/>
  <c r="O41" i="238"/>
  <c r="L41" i="238"/>
  <c r="K41" i="238"/>
  <c r="J41" i="238"/>
  <c r="H41" i="238"/>
  <c r="R40" i="238"/>
  <c r="Q40" i="238"/>
  <c r="O40" i="238"/>
  <c r="L40" i="238"/>
  <c r="K40" i="238"/>
  <c r="J40" i="238"/>
  <c r="H40" i="238"/>
  <c r="R39" i="238"/>
  <c r="Q39" i="238"/>
  <c r="O39" i="238"/>
  <c r="L39" i="238"/>
  <c r="K39" i="238"/>
  <c r="J39" i="238"/>
  <c r="H39" i="238"/>
  <c r="R38" i="238"/>
  <c r="Q38" i="238"/>
  <c r="L38" i="238"/>
  <c r="K38" i="238"/>
  <c r="J38" i="238"/>
  <c r="H38" i="238"/>
  <c r="R37" i="238"/>
  <c r="Q37" i="238"/>
  <c r="O37" i="238"/>
  <c r="L37" i="238"/>
  <c r="K37" i="238"/>
  <c r="J37" i="238"/>
  <c r="H37" i="238"/>
  <c r="R36" i="238"/>
  <c r="Q36" i="238"/>
  <c r="O36" i="238"/>
  <c r="L36" i="238"/>
  <c r="K36" i="238"/>
  <c r="J36" i="238"/>
  <c r="H36" i="238"/>
  <c r="R35" i="238"/>
  <c r="Q35" i="238"/>
  <c r="N35" i="238"/>
  <c r="L35" i="238"/>
  <c r="K35" i="238"/>
  <c r="J35" i="238"/>
  <c r="H35" i="238"/>
  <c r="R34" i="238"/>
  <c r="Q34" i="238"/>
  <c r="L34" i="238"/>
  <c r="K34" i="238"/>
  <c r="J34" i="238"/>
  <c r="H34" i="238"/>
  <c r="R33" i="238"/>
  <c r="Q33" i="238"/>
  <c r="O33" i="238"/>
  <c r="N33" i="238"/>
  <c r="L33" i="238"/>
  <c r="K33" i="238"/>
  <c r="J33" i="238"/>
  <c r="H33" i="238"/>
  <c r="R32" i="238"/>
  <c r="Q32" i="238"/>
  <c r="O32" i="238"/>
  <c r="N32" i="238"/>
  <c r="L32" i="238"/>
  <c r="K32" i="238"/>
  <c r="J32" i="238"/>
  <c r="H32" i="238"/>
  <c r="R31" i="238"/>
  <c r="Q31" i="238"/>
  <c r="L31" i="238"/>
  <c r="K31" i="238"/>
  <c r="J31" i="238"/>
  <c r="H31" i="238"/>
  <c r="R30" i="238"/>
  <c r="Q30" i="238"/>
  <c r="L30" i="238"/>
  <c r="K30" i="238"/>
  <c r="J30" i="238"/>
  <c r="H30" i="238"/>
  <c r="G30" i="238"/>
  <c r="R29" i="238"/>
  <c r="Q29" i="238"/>
  <c r="O29" i="238"/>
  <c r="L29" i="238"/>
  <c r="K29" i="238"/>
  <c r="J29" i="238"/>
  <c r="H29" i="238"/>
  <c r="R28" i="238"/>
  <c r="Q28" i="238"/>
  <c r="O28" i="238"/>
  <c r="N28" i="238"/>
  <c r="L28" i="238"/>
  <c r="K28" i="238"/>
  <c r="J28" i="238"/>
  <c r="H28" i="238"/>
  <c r="R27" i="238"/>
  <c r="Q27" i="238"/>
  <c r="L27" i="238"/>
  <c r="K27" i="238"/>
  <c r="J27" i="238"/>
  <c r="H27" i="238"/>
  <c r="R26" i="238"/>
  <c r="Q26" i="238"/>
  <c r="O26" i="238"/>
  <c r="L26" i="238"/>
  <c r="K26" i="238"/>
  <c r="J26" i="238"/>
  <c r="H26" i="238"/>
  <c r="R25" i="238"/>
  <c r="Q25" i="238"/>
  <c r="L25" i="238"/>
  <c r="K25" i="238"/>
  <c r="J25" i="238"/>
  <c r="H25" i="238"/>
  <c r="R24" i="238"/>
  <c r="Q24" i="238"/>
  <c r="O24" i="238"/>
  <c r="L24" i="238"/>
  <c r="K24" i="238"/>
  <c r="J24" i="238"/>
  <c r="H24" i="238"/>
  <c r="R23" i="238"/>
  <c r="Q23" i="238"/>
  <c r="L23" i="238"/>
  <c r="K23" i="238"/>
  <c r="J23" i="238"/>
  <c r="H23" i="238"/>
  <c r="R22" i="238"/>
  <c r="Q22" i="238"/>
  <c r="O22" i="238"/>
  <c r="L22" i="238"/>
  <c r="K22" i="238"/>
  <c r="J22" i="238"/>
  <c r="H22" i="238"/>
  <c r="R21" i="238"/>
  <c r="Q21" i="238"/>
  <c r="O21" i="238"/>
  <c r="L21" i="238"/>
  <c r="K21" i="238"/>
  <c r="J21" i="238"/>
  <c r="H21" i="238"/>
  <c r="R20" i="238"/>
  <c r="Q20" i="238"/>
  <c r="N20" i="238"/>
  <c r="L20" i="238"/>
  <c r="K20" i="238"/>
  <c r="J20" i="238"/>
  <c r="H20" i="238"/>
  <c r="G20" i="238"/>
  <c r="R19" i="238"/>
  <c r="Q19" i="238"/>
  <c r="O19" i="238"/>
  <c r="N19" i="238"/>
  <c r="L19" i="238"/>
  <c r="K19" i="238"/>
  <c r="J19" i="238"/>
  <c r="H19" i="238"/>
  <c r="G19" i="238"/>
  <c r="R18" i="238"/>
  <c r="Q18" i="238"/>
  <c r="O18" i="238"/>
  <c r="L18" i="238"/>
  <c r="K18" i="238"/>
  <c r="J18" i="238"/>
  <c r="H18" i="238"/>
  <c r="G18" i="238"/>
  <c r="R17" i="238"/>
  <c r="Q17" i="238"/>
  <c r="L17" i="238"/>
  <c r="K17" i="238"/>
  <c r="J17" i="238"/>
  <c r="H17" i="238"/>
  <c r="G17" i="238"/>
  <c r="R16" i="238"/>
  <c r="Q16" i="238"/>
  <c r="L16" i="238"/>
  <c r="K16" i="238"/>
  <c r="J16" i="238"/>
  <c r="H16" i="238"/>
  <c r="R15" i="238"/>
  <c r="Q15" i="238"/>
  <c r="O15" i="238"/>
  <c r="L15" i="238"/>
  <c r="K15" i="238"/>
  <c r="J15" i="238"/>
  <c r="H15" i="238"/>
  <c r="R14" i="238"/>
  <c r="Q14" i="238"/>
  <c r="L14" i="238"/>
  <c r="K14" i="238"/>
  <c r="J14" i="238"/>
  <c r="H14" i="238"/>
  <c r="R13" i="238"/>
  <c r="Q13" i="238"/>
  <c r="L13" i="238"/>
  <c r="K13" i="238"/>
  <c r="J13" i="238"/>
  <c r="H13" i="238"/>
  <c r="R12" i="238"/>
  <c r="Q12" i="238"/>
  <c r="O12" i="238"/>
  <c r="L12" i="238"/>
  <c r="K12" i="238"/>
  <c r="J12" i="238"/>
  <c r="H12" i="238"/>
  <c r="R11" i="238"/>
  <c r="Q11" i="238"/>
  <c r="O11" i="238"/>
  <c r="L11" i="238"/>
  <c r="K11" i="238"/>
  <c r="J11" i="238"/>
  <c r="H11" i="238"/>
  <c r="R10" i="238"/>
  <c r="Q10" i="238"/>
  <c r="O10" i="238"/>
  <c r="L10" i="238"/>
  <c r="K10" i="238"/>
  <c r="J10" i="238"/>
  <c r="H10" i="238"/>
  <c r="R9" i="238"/>
  <c r="Q9" i="238"/>
  <c r="O9" i="238"/>
  <c r="L9" i="238"/>
  <c r="K9" i="238"/>
  <c r="H9" i="238"/>
  <c r="R8" i="238"/>
  <c r="Q8" i="238"/>
  <c r="L8" i="238"/>
  <c r="K8" i="238"/>
  <c r="J8" i="238"/>
  <c r="H8" i="238"/>
  <c r="O7" i="238"/>
  <c r="L7" i="238"/>
  <c r="K7" i="238"/>
  <c r="H7" i="238"/>
  <c r="E3" i="238"/>
  <c r="G249" i="243"/>
  <c r="F249" i="243"/>
  <c r="C249" i="243"/>
  <c r="G248" i="243"/>
  <c r="F248" i="243"/>
  <c r="F247" i="243"/>
  <c r="F246" i="243"/>
  <c r="F245" i="243"/>
  <c r="F244" i="243"/>
  <c r="F243" i="243"/>
  <c r="F242" i="243"/>
  <c r="F241" i="243"/>
  <c r="F240" i="243"/>
  <c r="F239" i="243"/>
  <c r="F238" i="243"/>
  <c r="F237" i="243"/>
  <c r="F236" i="243"/>
  <c r="F235" i="243"/>
  <c r="F234" i="243"/>
  <c r="F233" i="243"/>
  <c r="F232" i="243"/>
  <c r="F231" i="243"/>
  <c r="F230" i="243"/>
  <c r="F229" i="243"/>
  <c r="F228" i="243"/>
  <c r="F227" i="243"/>
  <c r="F226" i="243"/>
  <c r="F225" i="243"/>
  <c r="F224" i="243"/>
  <c r="F223" i="243"/>
  <c r="F222" i="243"/>
  <c r="F221" i="243"/>
  <c r="F220" i="243"/>
  <c r="F219" i="243"/>
  <c r="F218" i="243"/>
  <c r="F217" i="243"/>
  <c r="F216" i="243"/>
  <c r="F215" i="243"/>
  <c r="F214" i="243"/>
  <c r="F213" i="243"/>
  <c r="F212" i="243"/>
  <c r="F211" i="243"/>
  <c r="F210" i="243"/>
  <c r="F209" i="243"/>
  <c r="F208" i="243"/>
  <c r="F207" i="243"/>
  <c r="F206" i="243"/>
  <c r="F205" i="243"/>
  <c r="F204" i="243"/>
  <c r="F203" i="243"/>
  <c r="F202" i="243"/>
  <c r="F201" i="243"/>
  <c r="F200" i="243"/>
  <c r="F199" i="243"/>
  <c r="F198" i="243"/>
  <c r="F197" i="243"/>
  <c r="F196" i="243"/>
  <c r="F195" i="243"/>
  <c r="F194" i="243"/>
  <c r="F193" i="243"/>
  <c r="F192" i="243"/>
  <c r="F191" i="243"/>
  <c r="F190" i="243"/>
  <c r="F189" i="243"/>
  <c r="F188" i="243"/>
  <c r="G187" i="243"/>
  <c r="G186" i="243"/>
  <c r="G185" i="243"/>
  <c r="G184" i="243"/>
  <c r="G183" i="243"/>
  <c r="G182" i="243"/>
  <c r="G179" i="243"/>
  <c r="F179" i="243"/>
  <c r="E179" i="243"/>
  <c r="F178" i="243"/>
  <c r="F177" i="243"/>
  <c r="F176" i="243"/>
  <c r="F175" i="243"/>
  <c r="F174" i="243"/>
  <c r="G173" i="243"/>
  <c r="G172" i="243"/>
  <c r="G171" i="243"/>
  <c r="G170" i="243"/>
  <c r="G169" i="243"/>
  <c r="G168" i="243"/>
  <c r="G167" i="243"/>
  <c r="G164" i="243"/>
  <c r="F164" i="243"/>
  <c r="E164" i="243"/>
  <c r="F163" i="243"/>
  <c r="F162" i="243"/>
  <c r="F161" i="243"/>
  <c r="F160" i="243"/>
  <c r="F159" i="243"/>
  <c r="G156" i="243"/>
  <c r="F156" i="243"/>
  <c r="E156" i="243"/>
  <c r="F155" i="243"/>
  <c r="F154" i="243"/>
  <c r="F153" i="243"/>
  <c r="F152" i="243"/>
  <c r="F151" i="243"/>
  <c r="F150" i="243"/>
  <c r="F149" i="243"/>
  <c r="G148" i="243"/>
  <c r="G145" i="243"/>
  <c r="F145" i="243"/>
  <c r="E145" i="243"/>
  <c r="F144" i="243"/>
  <c r="F143" i="243"/>
  <c r="F142" i="243"/>
  <c r="F141" i="243"/>
  <c r="F140" i="243"/>
  <c r="F139" i="243"/>
  <c r="F138" i="243"/>
  <c r="G137" i="243"/>
  <c r="G136" i="243"/>
  <c r="G135" i="243"/>
  <c r="G134" i="243"/>
  <c r="G131" i="243"/>
  <c r="F131" i="243"/>
  <c r="E131" i="243"/>
  <c r="F130" i="243"/>
  <c r="F129" i="243"/>
  <c r="F128" i="243"/>
  <c r="F127" i="243"/>
  <c r="F126" i="243"/>
  <c r="G125" i="243"/>
  <c r="G124" i="243"/>
  <c r="G121" i="243"/>
  <c r="F121" i="243"/>
  <c r="E121" i="243"/>
  <c r="F120" i="243"/>
  <c r="F119" i="243"/>
  <c r="F118" i="243"/>
  <c r="F117" i="243"/>
  <c r="F116" i="243"/>
  <c r="F115" i="243"/>
  <c r="F114" i="243"/>
  <c r="G113" i="243"/>
  <c r="G112" i="243"/>
  <c r="G111" i="243"/>
  <c r="G110" i="243"/>
  <c r="G109" i="243"/>
  <c r="G108" i="243"/>
  <c r="G105" i="243"/>
  <c r="F105" i="243"/>
  <c r="E105" i="243"/>
  <c r="F104" i="243"/>
  <c r="F103" i="243"/>
  <c r="F102" i="243"/>
  <c r="F101" i="243"/>
  <c r="F100" i="243"/>
  <c r="F99" i="243"/>
  <c r="F98" i="243"/>
  <c r="G97" i="243"/>
  <c r="G96" i="243"/>
  <c r="G95" i="243"/>
  <c r="G94" i="243"/>
  <c r="G91" i="243"/>
  <c r="F91" i="243"/>
  <c r="E91" i="243"/>
  <c r="F90" i="243"/>
  <c r="F89" i="243"/>
  <c r="F88" i="243"/>
  <c r="F87" i="243"/>
  <c r="F86" i="243"/>
  <c r="F85" i="243"/>
  <c r="F84" i="243"/>
  <c r="F83" i="243"/>
  <c r="F82" i="243"/>
  <c r="G81" i="243"/>
  <c r="G80" i="243"/>
  <c r="G77" i="243"/>
  <c r="F77" i="243"/>
  <c r="E77" i="243"/>
  <c r="G76" i="243"/>
  <c r="G75" i="243"/>
  <c r="G72" i="243"/>
  <c r="F72" i="243"/>
  <c r="E72" i="243"/>
  <c r="F71" i="243"/>
  <c r="F70" i="243"/>
  <c r="F69" i="243"/>
  <c r="F68" i="243"/>
  <c r="F67" i="243"/>
  <c r="F66" i="243"/>
  <c r="G65" i="243"/>
  <c r="G64" i="243"/>
  <c r="G63" i="243"/>
  <c r="G62" i="243"/>
  <c r="G61" i="243"/>
  <c r="G60" i="243"/>
  <c r="G57" i="243"/>
  <c r="F57" i="243"/>
  <c r="E57" i="243"/>
  <c r="F56" i="243"/>
  <c r="F55" i="243"/>
  <c r="F54" i="243"/>
  <c r="F53" i="243"/>
  <c r="F52" i="243"/>
  <c r="G51" i="243"/>
  <c r="G50" i="243"/>
  <c r="G47" i="243"/>
  <c r="F47" i="243"/>
  <c r="E47" i="243"/>
  <c r="F46" i="243"/>
  <c r="F45" i="243"/>
  <c r="F44" i="243"/>
  <c r="F43" i="243"/>
  <c r="F42" i="243"/>
  <c r="F41" i="243"/>
  <c r="F40" i="243"/>
  <c r="F39" i="243"/>
  <c r="F38" i="243"/>
  <c r="F37" i="243"/>
  <c r="F36" i="243"/>
  <c r="F35" i="243"/>
  <c r="F34" i="243"/>
  <c r="F33" i="243"/>
  <c r="F32" i="243"/>
  <c r="F31" i="243"/>
  <c r="F30" i="243"/>
  <c r="F29" i="243"/>
  <c r="F28" i="243"/>
  <c r="F27" i="243"/>
  <c r="F26" i="243"/>
  <c r="F25" i="243"/>
  <c r="F24" i="243"/>
  <c r="F23" i="243"/>
  <c r="F22" i="243"/>
  <c r="F21" i="243"/>
  <c r="F20" i="243"/>
  <c r="F19" i="243"/>
  <c r="F18" i="243"/>
  <c r="G17" i="243"/>
  <c r="G16" i="243"/>
  <c r="G15" i="243"/>
  <c r="G14" i="243"/>
  <c r="G13" i="243"/>
  <c r="G12" i="243"/>
  <c r="G11" i="243"/>
  <c r="G10" i="243"/>
  <c r="G9" i="243"/>
  <c r="G8" i="243"/>
  <c r="G7" i="243"/>
  <c r="K10" i="246"/>
  <c r="H10" i="246"/>
  <c r="K9" i="246"/>
  <c r="J9" i="246"/>
  <c r="H9" i="246"/>
  <c r="K8" i="246"/>
  <c r="H8" i="246"/>
  <c r="G8" i="246"/>
  <c r="K7" i="246"/>
  <c r="J7" i="246"/>
  <c r="H7" i="246"/>
  <c r="G7" i="246"/>
  <c r="K6" i="246"/>
  <c r="J6" i="246"/>
  <c r="H6" i="246"/>
  <c r="G6" i="246"/>
  <c r="E248" i="245"/>
  <c r="D248" i="245"/>
  <c r="E247" i="245"/>
  <c r="D247" i="245"/>
  <c r="E246" i="245"/>
  <c r="E245" i="245"/>
  <c r="E244" i="245"/>
  <c r="E243" i="245"/>
  <c r="E242" i="245"/>
  <c r="E241" i="245"/>
  <c r="E240" i="245"/>
  <c r="E239" i="245"/>
  <c r="E238" i="245"/>
  <c r="E237" i="245"/>
  <c r="E236" i="245"/>
  <c r="E235" i="245"/>
  <c r="E234" i="245"/>
  <c r="E233" i="245"/>
  <c r="E232" i="245"/>
  <c r="E231" i="245"/>
  <c r="E230" i="245"/>
  <c r="E229" i="245"/>
  <c r="E228" i="245"/>
  <c r="E227" i="245"/>
  <c r="E226" i="245"/>
  <c r="E225" i="245"/>
  <c r="E224" i="245"/>
  <c r="E223" i="245"/>
  <c r="E222" i="245"/>
  <c r="E221" i="245"/>
  <c r="E220" i="245"/>
  <c r="E219" i="245"/>
  <c r="E218" i="245"/>
  <c r="E217" i="245"/>
  <c r="E216" i="245"/>
  <c r="E215" i="245"/>
  <c r="E214" i="245"/>
  <c r="E213" i="245"/>
  <c r="E212" i="245"/>
  <c r="E211" i="245"/>
  <c r="E210" i="245"/>
  <c r="E209" i="245"/>
  <c r="E208" i="245"/>
  <c r="E207" i="245"/>
  <c r="E206" i="245"/>
  <c r="E205" i="245"/>
  <c r="E204" i="245"/>
  <c r="E203" i="245"/>
  <c r="E202" i="245"/>
  <c r="E201" i="245"/>
  <c r="E200" i="245"/>
  <c r="E199" i="245"/>
  <c r="E198" i="245"/>
  <c r="E197" i="245"/>
  <c r="E196" i="245"/>
  <c r="E195" i="245"/>
  <c r="E194" i="245"/>
  <c r="E193" i="245"/>
  <c r="E192" i="245"/>
  <c r="E191" i="245"/>
  <c r="E190" i="245"/>
  <c r="E189" i="245"/>
  <c r="E188" i="245"/>
  <c r="E187" i="245"/>
  <c r="E186" i="245"/>
  <c r="E185" i="245"/>
  <c r="E184" i="245"/>
  <c r="E183" i="245"/>
  <c r="E182" i="245"/>
  <c r="E181" i="245"/>
  <c r="E178" i="245"/>
  <c r="D178" i="245"/>
  <c r="E177" i="245"/>
  <c r="E175" i="245"/>
  <c r="E174" i="245"/>
  <c r="E173" i="245"/>
  <c r="E172" i="245"/>
  <c r="E171" i="245"/>
  <c r="E170" i="245"/>
  <c r="E169" i="245"/>
  <c r="E168" i="245"/>
  <c r="E167" i="245"/>
  <c r="E166" i="245"/>
  <c r="E163" i="245"/>
  <c r="D163" i="245"/>
  <c r="E162" i="245"/>
  <c r="E161" i="245"/>
  <c r="E160" i="245"/>
  <c r="E159" i="245"/>
  <c r="E158" i="245"/>
  <c r="E155" i="245"/>
  <c r="D155" i="245"/>
  <c r="E154" i="245"/>
  <c r="E153" i="245"/>
  <c r="E152" i="245"/>
  <c r="E151" i="245"/>
  <c r="E150" i="245"/>
  <c r="E149" i="245"/>
  <c r="E148" i="245"/>
  <c r="E147" i="245"/>
  <c r="E144" i="245"/>
  <c r="D144" i="245"/>
  <c r="E143" i="245"/>
  <c r="E142" i="245"/>
  <c r="E141" i="245"/>
  <c r="E140" i="245"/>
  <c r="E139" i="245"/>
  <c r="E138" i="245"/>
  <c r="E137" i="245"/>
  <c r="E136" i="245"/>
  <c r="E135" i="245"/>
  <c r="E134" i="245"/>
  <c r="E133" i="245"/>
  <c r="E130" i="245"/>
  <c r="D130" i="245"/>
  <c r="E129" i="245"/>
  <c r="E128" i="245"/>
  <c r="E127" i="245"/>
  <c r="E126" i="245"/>
  <c r="E125" i="245"/>
  <c r="E124" i="245"/>
  <c r="E123" i="245"/>
  <c r="E120" i="245"/>
  <c r="D120" i="245"/>
  <c r="E119" i="245"/>
  <c r="E118" i="245"/>
  <c r="E117" i="245"/>
  <c r="E116" i="245"/>
  <c r="E115" i="245"/>
  <c r="E114" i="245"/>
  <c r="E113" i="245"/>
  <c r="E112" i="245"/>
  <c r="E111" i="245"/>
  <c r="E110" i="245"/>
  <c r="E109" i="245"/>
  <c r="E108" i="245"/>
  <c r="E107" i="245"/>
  <c r="E104" i="245"/>
  <c r="D104" i="245"/>
  <c r="E103" i="245"/>
  <c r="E102" i="245"/>
  <c r="E101" i="245"/>
  <c r="E100" i="245"/>
  <c r="E99" i="245"/>
  <c r="E98" i="245"/>
  <c r="E97" i="245"/>
  <c r="E96" i="245"/>
  <c r="E95" i="245"/>
  <c r="E94" i="245"/>
  <c r="E93" i="245"/>
  <c r="E90" i="245"/>
  <c r="D90" i="245"/>
  <c r="E89" i="245"/>
  <c r="E88" i="245"/>
  <c r="E87" i="245"/>
  <c r="E86" i="245"/>
  <c r="E85" i="245"/>
  <c r="E84" i="245"/>
  <c r="E83" i="245"/>
  <c r="E82" i="245"/>
  <c r="E81" i="245"/>
  <c r="E80" i="245"/>
  <c r="E79" i="245"/>
  <c r="E76" i="245"/>
  <c r="D76" i="245"/>
  <c r="E75" i="245"/>
  <c r="E74" i="245"/>
  <c r="E71" i="245"/>
  <c r="D71" i="245"/>
  <c r="E70" i="245"/>
  <c r="E69" i="245"/>
  <c r="E68" i="245"/>
  <c r="E67" i="245"/>
  <c r="E66" i="245"/>
  <c r="E65" i="245"/>
  <c r="E64" i="245"/>
  <c r="E63" i="245"/>
  <c r="E62" i="245"/>
  <c r="E61" i="245"/>
  <c r="E60" i="245"/>
  <c r="E59" i="245"/>
  <c r="E56" i="245"/>
  <c r="D56" i="245"/>
  <c r="E55" i="245"/>
  <c r="E54" i="245"/>
  <c r="E53" i="245"/>
  <c r="E52" i="245"/>
  <c r="E51" i="245"/>
  <c r="E50" i="245"/>
  <c r="E49" i="245"/>
  <c r="E46" i="245"/>
  <c r="D46" i="245"/>
  <c r="E45" i="245"/>
  <c r="E44" i="245"/>
  <c r="E43" i="245"/>
  <c r="E42" i="245"/>
  <c r="E41" i="245"/>
  <c r="E40" i="245"/>
  <c r="E39" i="245"/>
  <c r="E38" i="245"/>
  <c r="E37" i="245"/>
  <c r="E36" i="245"/>
  <c r="E35" i="245"/>
  <c r="E34" i="245"/>
  <c r="E33" i="245"/>
  <c r="E32" i="245"/>
  <c r="E31" i="245"/>
  <c r="E30" i="245"/>
  <c r="E29" i="245"/>
  <c r="E28" i="245"/>
  <c r="E27" i="245"/>
  <c r="E26" i="245"/>
  <c r="E25" i="245"/>
  <c r="E24" i="245"/>
  <c r="E23" i="245"/>
  <c r="E22" i="245"/>
  <c r="E21" i="245"/>
  <c r="E20" i="245"/>
  <c r="E19" i="245"/>
  <c r="E18" i="245"/>
  <c r="E17" i="245"/>
  <c r="E16" i="245"/>
  <c r="E15" i="245"/>
  <c r="E14" i="245"/>
  <c r="E13" i="245"/>
  <c r="E12" i="245"/>
  <c r="E11" i="245"/>
  <c r="E10" i="245"/>
  <c r="E9" i="245"/>
  <c r="E8" i="245"/>
  <c r="E7" i="245"/>
  <c r="E6" i="245"/>
  <c r="S48" i="240"/>
  <c r="R48" i="240"/>
  <c r="Q48" i="240"/>
  <c r="P48" i="240"/>
  <c r="O48" i="240"/>
  <c r="N48" i="240"/>
  <c r="M48" i="240"/>
  <c r="L48" i="240"/>
  <c r="K48" i="240"/>
  <c r="J48" i="240"/>
  <c r="I48" i="240"/>
  <c r="H48" i="240"/>
  <c r="G48" i="240"/>
  <c r="F48" i="240"/>
  <c r="S47" i="240"/>
  <c r="R47" i="240"/>
  <c r="Q47" i="240"/>
  <c r="P47" i="240"/>
  <c r="O47" i="240"/>
  <c r="N47" i="240"/>
  <c r="M47" i="240"/>
  <c r="L47" i="240"/>
  <c r="K47" i="240"/>
  <c r="J47" i="240"/>
  <c r="I47" i="240"/>
  <c r="H47" i="240"/>
  <c r="G47" i="240"/>
  <c r="F47" i="240"/>
  <c r="S46" i="240"/>
  <c r="R46" i="240"/>
  <c r="Q46" i="240"/>
  <c r="P46" i="240"/>
  <c r="O46" i="240"/>
  <c r="N46" i="240"/>
  <c r="M46" i="240"/>
  <c r="L46" i="240"/>
  <c r="K46" i="240"/>
  <c r="J46" i="240"/>
  <c r="I46" i="240"/>
  <c r="H46" i="240"/>
  <c r="G46" i="240"/>
  <c r="F46" i="240"/>
  <c r="S45" i="240"/>
  <c r="R45" i="240"/>
  <c r="Q45" i="240"/>
  <c r="P45" i="240"/>
  <c r="O45" i="240"/>
  <c r="N45" i="240"/>
  <c r="M45" i="240"/>
  <c r="L45" i="240"/>
  <c r="K45" i="240"/>
  <c r="J45" i="240"/>
  <c r="I45" i="240"/>
  <c r="H45" i="240"/>
  <c r="G45" i="240"/>
  <c r="F45" i="240"/>
  <c r="S44" i="240"/>
  <c r="R44" i="240"/>
  <c r="Q44" i="240"/>
  <c r="P44" i="240"/>
  <c r="O44" i="240"/>
  <c r="N44" i="240"/>
  <c r="M44" i="240"/>
  <c r="L44" i="240"/>
  <c r="K44" i="240"/>
  <c r="J44" i="240"/>
  <c r="I44" i="240"/>
  <c r="H44" i="240"/>
  <c r="G44" i="240"/>
  <c r="F44" i="240"/>
  <c r="S43" i="240"/>
  <c r="R43" i="240"/>
  <c r="Q43" i="240"/>
  <c r="P43" i="240"/>
  <c r="O43" i="240"/>
  <c r="N43" i="240"/>
  <c r="M43" i="240"/>
  <c r="L43" i="240"/>
  <c r="K43" i="240"/>
  <c r="J43" i="240"/>
  <c r="I43" i="240"/>
  <c r="H43" i="240"/>
  <c r="G43" i="240"/>
  <c r="F43" i="240"/>
  <c r="S42" i="240"/>
  <c r="R42" i="240"/>
  <c r="Q42" i="240"/>
  <c r="P42" i="240"/>
  <c r="O42" i="240"/>
  <c r="N42" i="240"/>
  <c r="M42" i="240"/>
  <c r="L42" i="240"/>
  <c r="K42" i="240"/>
  <c r="J42" i="240"/>
  <c r="I42" i="240"/>
  <c r="H42" i="240"/>
  <c r="G42" i="240"/>
  <c r="F42" i="240"/>
  <c r="S41" i="240"/>
  <c r="R41" i="240"/>
  <c r="Q41" i="240"/>
  <c r="P41" i="240"/>
  <c r="O41" i="240"/>
  <c r="N41" i="240"/>
  <c r="M41" i="240"/>
  <c r="L41" i="240"/>
  <c r="K41" i="240"/>
  <c r="J41" i="240"/>
  <c r="I41" i="240"/>
  <c r="H41" i="240"/>
  <c r="G41" i="240"/>
  <c r="F41" i="240"/>
  <c r="S40" i="240"/>
  <c r="R40" i="240"/>
  <c r="Q40" i="240"/>
  <c r="P40" i="240"/>
  <c r="O40" i="240"/>
  <c r="N40" i="240"/>
  <c r="M40" i="240"/>
  <c r="L40" i="240"/>
  <c r="K40" i="240"/>
  <c r="J40" i="240"/>
  <c r="I40" i="240"/>
  <c r="H40" i="240"/>
  <c r="G40" i="240"/>
  <c r="F40" i="240"/>
  <c r="S39" i="240"/>
  <c r="R39" i="240"/>
  <c r="Q39" i="240"/>
  <c r="P39" i="240"/>
  <c r="O39" i="240"/>
  <c r="N39" i="240"/>
  <c r="M39" i="240"/>
  <c r="L39" i="240"/>
  <c r="K39" i="240"/>
  <c r="J39" i="240"/>
  <c r="I39" i="240"/>
  <c r="H39" i="240"/>
  <c r="G39" i="240"/>
  <c r="F39" i="240"/>
  <c r="S38" i="240"/>
  <c r="R38" i="240"/>
  <c r="Q38" i="240"/>
  <c r="P38" i="240"/>
  <c r="O38" i="240"/>
  <c r="N38" i="240"/>
  <c r="M38" i="240"/>
  <c r="L38" i="240"/>
  <c r="K38" i="240"/>
  <c r="J38" i="240"/>
  <c r="I38" i="240"/>
  <c r="H38" i="240"/>
  <c r="G38" i="240"/>
  <c r="F38" i="240"/>
  <c r="S37" i="240"/>
  <c r="R37" i="240"/>
  <c r="Q37" i="240"/>
  <c r="P37" i="240"/>
  <c r="O37" i="240"/>
  <c r="N37" i="240"/>
  <c r="M37" i="240"/>
  <c r="L37" i="240"/>
  <c r="K37" i="240"/>
  <c r="J37" i="240"/>
  <c r="I37" i="240"/>
  <c r="H37" i="240"/>
  <c r="G37" i="240"/>
  <c r="F37" i="240"/>
  <c r="S36" i="240"/>
  <c r="R36" i="240"/>
  <c r="Q36" i="240"/>
  <c r="P36" i="240"/>
  <c r="O36" i="240"/>
  <c r="N36" i="240"/>
  <c r="M36" i="240"/>
  <c r="L36" i="240"/>
  <c r="K36" i="240"/>
  <c r="J36" i="240"/>
  <c r="I36" i="240"/>
  <c r="H36" i="240"/>
  <c r="G36" i="240"/>
  <c r="F36" i="240"/>
  <c r="S35" i="240"/>
  <c r="R35" i="240"/>
  <c r="Q35" i="240"/>
  <c r="P35" i="240"/>
  <c r="O35" i="240"/>
  <c r="N35" i="240"/>
  <c r="M35" i="240"/>
  <c r="L35" i="240"/>
  <c r="K35" i="240"/>
  <c r="J35" i="240"/>
  <c r="I35" i="240"/>
  <c r="H35" i="240"/>
  <c r="G35" i="240"/>
  <c r="F35" i="240"/>
  <c r="S34" i="240"/>
  <c r="R34" i="240"/>
  <c r="Q34" i="240"/>
  <c r="P34" i="240"/>
  <c r="O34" i="240"/>
  <c r="N34" i="240"/>
  <c r="M34" i="240"/>
  <c r="L34" i="240"/>
  <c r="K34" i="240"/>
  <c r="J34" i="240"/>
  <c r="I34" i="240"/>
  <c r="H34" i="240"/>
  <c r="G34" i="240"/>
  <c r="F34" i="240"/>
  <c r="S33" i="240"/>
  <c r="R33" i="240"/>
  <c r="Q33" i="240"/>
  <c r="P33" i="240"/>
  <c r="O33" i="240"/>
  <c r="N33" i="240"/>
  <c r="M33" i="240"/>
  <c r="L33" i="240"/>
  <c r="K33" i="240"/>
  <c r="J33" i="240"/>
  <c r="I33" i="240"/>
  <c r="H33" i="240"/>
  <c r="G33" i="240"/>
  <c r="F33" i="240"/>
  <c r="S32" i="240"/>
  <c r="R32" i="240"/>
  <c r="Q32" i="240"/>
  <c r="P32" i="240"/>
  <c r="O32" i="240"/>
  <c r="N32" i="240"/>
  <c r="M32" i="240"/>
  <c r="L32" i="240"/>
  <c r="K32" i="240"/>
  <c r="J32" i="240"/>
  <c r="I32" i="240"/>
  <c r="H32" i="240"/>
  <c r="G32" i="240"/>
  <c r="F32" i="240"/>
  <c r="S31" i="240"/>
  <c r="R31" i="240"/>
  <c r="Q31" i="240"/>
  <c r="P31" i="240"/>
  <c r="O31" i="240"/>
  <c r="N31" i="240"/>
  <c r="M31" i="240"/>
  <c r="L31" i="240"/>
  <c r="K31" i="240"/>
  <c r="J31" i="240"/>
  <c r="I31" i="240"/>
  <c r="H31" i="240"/>
  <c r="G31" i="240"/>
  <c r="F31" i="240"/>
  <c r="S30" i="240"/>
  <c r="R30" i="240"/>
  <c r="Q30" i="240"/>
  <c r="P30" i="240"/>
  <c r="O30" i="240"/>
  <c r="N30" i="240"/>
  <c r="M30" i="240"/>
  <c r="L30" i="240"/>
  <c r="K30" i="240"/>
  <c r="J30" i="240"/>
  <c r="I30" i="240"/>
  <c r="H30" i="240"/>
  <c r="G30" i="240"/>
  <c r="F30" i="240"/>
  <c r="S29" i="240"/>
  <c r="R29" i="240"/>
  <c r="Q29" i="240"/>
  <c r="P29" i="240"/>
  <c r="O29" i="240"/>
  <c r="N29" i="240"/>
  <c r="M29" i="240"/>
  <c r="L29" i="240"/>
  <c r="K29" i="240"/>
  <c r="J29" i="240"/>
  <c r="I29" i="240"/>
  <c r="H29" i="240"/>
  <c r="G29" i="240"/>
  <c r="F29" i="240"/>
  <c r="S28" i="240"/>
  <c r="R28" i="240"/>
  <c r="Q28" i="240"/>
  <c r="P28" i="240"/>
  <c r="O28" i="240"/>
  <c r="N28" i="240"/>
  <c r="M28" i="240"/>
  <c r="L28" i="240"/>
  <c r="K28" i="240"/>
  <c r="J28" i="240"/>
  <c r="I28" i="240"/>
  <c r="H28" i="240"/>
  <c r="G28" i="240"/>
  <c r="F28" i="240"/>
  <c r="S27" i="240"/>
  <c r="R27" i="240"/>
  <c r="Q27" i="240"/>
  <c r="P27" i="240"/>
  <c r="O27" i="240"/>
  <c r="N27" i="240"/>
  <c r="M27" i="240"/>
  <c r="L27" i="240"/>
  <c r="K27" i="240"/>
  <c r="J27" i="240"/>
  <c r="I27" i="240"/>
  <c r="H27" i="240"/>
  <c r="G27" i="240"/>
  <c r="F27" i="240"/>
  <c r="S26" i="240"/>
  <c r="R26" i="240"/>
  <c r="Q26" i="240"/>
  <c r="P26" i="240"/>
  <c r="O26" i="240"/>
  <c r="N26" i="240"/>
  <c r="M26" i="240"/>
  <c r="L26" i="240"/>
  <c r="K26" i="240"/>
  <c r="J26" i="240"/>
  <c r="I26" i="240"/>
  <c r="H26" i="240"/>
  <c r="G26" i="240"/>
  <c r="F26" i="240"/>
  <c r="S25" i="240"/>
  <c r="R25" i="240"/>
  <c r="Q25" i="240"/>
  <c r="P25" i="240"/>
  <c r="O25" i="240"/>
  <c r="N25" i="240"/>
  <c r="M25" i="240"/>
  <c r="L25" i="240"/>
  <c r="K25" i="240"/>
  <c r="J25" i="240"/>
  <c r="I25" i="240"/>
  <c r="H25" i="240"/>
  <c r="G25" i="240"/>
  <c r="F25" i="240"/>
  <c r="S24" i="240"/>
  <c r="R24" i="240"/>
  <c r="Q24" i="240"/>
  <c r="P24" i="240"/>
  <c r="O24" i="240"/>
  <c r="N24" i="240"/>
  <c r="M24" i="240"/>
  <c r="L24" i="240"/>
  <c r="K24" i="240"/>
  <c r="J24" i="240"/>
  <c r="I24" i="240"/>
  <c r="H24" i="240"/>
  <c r="G24" i="240"/>
  <c r="F24" i="240"/>
  <c r="S23" i="240"/>
  <c r="R23" i="240"/>
  <c r="Q23" i="240"/>
  <c r="P23" i="240"/>
  <c r="O23" i="240"/>
  <c r="N23" i="240"/>
  <c r="M23" i="240"/>
  <c r="L23" i="240"/>
  <c r="K23" i="240"/>
  <c r="J23" i="240"/>
  <c r="I23" i="240"/>
  <c r="H23" i="240"/>
  <c r="G23" i="240"/>
  <c r="F23" i="240"/>
  <c r="S22" i="240"/>
  <c r="R22" i="240"/>
  <c r="Q22" i="240"/>
  <c r="P22" i="240"/>
  <c r="O22" i="240"/>
  <c r="N22" i="240"/>
  <c r="M22" i="240"/>
  <c r="L22" i="240"/>
  <c r="K22" i="240"/>
  <c r="J22" i="240"/>
  <c r="I22" i="240"/>
  <c r="H22" i="240"/>
  <c r="G22" i="240"/>
  <c r="F22" i="240"/>
  <c r="S21" i="240"/>
  <c r="R21" i="240"/>
  <c r="Q21" i="240"/>
  <c r="P21" i="240"/>
  <c r="O21" i="240"/>
  <c r="N21" i="240"/>
  <c r="M21" i="240"/>
  <c r="L21" i="240"/>
  <c r="K21" i="240"/>
  <c r="J21" i="240"/>
  <c r="I21" i="240"/>
  <c r="H21" i="240"/>
  <c r="G21" i="240"/>
  <c r="F21" i="240"/>
  <c r="S20" i="240"/>
  <c r="R20" i="240"/>
  <c r="Q20" i="240"/>
  <c r="P20" i="240"/>
  <c r="O20" i="240"/>
  <c r="N20" i="240"/>
  <c r="M20" i="240"/>
  <c r="L20" i="240"/>
  <c r="K20" i="240"/>
  <c r="J20" i="240"/>
  <c r="I20" i="240"/>
  <c r="H20" i="240"/>
  <c r="G20" i="240"/>
  <c r="F20" i="240"/>
  <c r="S19" i="240"/>
  <c r="R19" i="240"/>
  <c r="Q19" i="240"/>
  <c r="P19" i="240"/>
  <c r="O19" i="240"/>
  <c r="N19" i="240"/>
  <c r="M19" i="240"/>
  <c r="L19" i="240"/>
  <c r="K19" i="240"/>
  <c r="J19" i="240"/>
  <c r="I19" i="240"/>
  <c r="H19" i="240"/>
  <c r="G19" i="240"/>
  <c r="F19" i="240"/>
  <c r="S18" i="240"/>
  <c r="R18" i="240"/>
  <c r="Q18" i="240"/>
  <c r="P18" i="240"/>
  <c r="O18" i="240"/>
  <c r="N18" i="240"/>
  <c r="M18" i="240"/>
  <c r="L18" i="240"/>
  <c r="K18" i="240"/>
  <c r="J18" i="240"/>
  <c r="I18" i="240"/>
  <c r="H18" i="240"/>
  <c r="G18" i="240"/>
  <c r="F18" i="240"/>
  <c r="S17" i="240"/>
  <c r="R17" i="240"/>
  <c r="Q17" i="240"/>
  <c r="P17" i="240"/>
  <c r="O17" i="240"/>
  <c r="N17" i="240"/>
  <c r="M17" i="240"/>
  <c r="L17" i="240"/>
  <c r="K17" i="240"/>
  <c r="J17" i="240"/>
  <c r="I17" i="240"/>
  <c r="H17" i="240"/>
  <c r="G17" i="240"/>
  <c r="F17" i="240"/>
  <c r="S16" i="240"/>
  <c r="R16" i="240"/>
  <c r="Q16" i="240"/>
  <c r="P16" i="240"/>
  <c r="O16" i="240"/>
  <c r="N16" i="240"/>
  <c r="M16" i="240"/>
  <c r="L16" i="240"/>
  <c r="K16" i="240"/>
  <c r="J16" i="240"/>
  <c r="I16" i="240"/>
  <c r="H16" i="240"/>
  <c r="G16" i="240"/>
  <c r="F16" i="240"/>
  <c r="S15" i="240"/>
  <c r="R15" i="240"/>
  <c r="Q15" i="240"/>
  <c r="P15" i="240"/>
  <c r="O15" i="240"/>
  <c r="N15" i="240"/>
  <c r="M15" i="240"/>
  <c r="L15" i="240"/>
  <c r="K15" i="240"/>
  <c r="J15" i="240"/>
  <c r="G15" i="240"/>
  <c r="F15" i="240"/>
  <c r="S14" i="240"/>
  <c r="R14" i="240"/>
  <c r="Q14" i="240"/>
  <c r="P14" i="240"/>
  <c r="O14" i="240"/>
  <c r="N14" i="240"/>
  <c r="M14" i="240"/>
  <c r="L14" i="240"/>
  <c r="K14" i="240"/>
  <c r="J14" i="240"/>
  <c r="F14" i="240"/>
  <c r="S13" i="240"/>
  <c r="R13" i="240"/>
  <c r="Q13" i="240"/>
  <c r="P13" i="240"/>
  <c r="O13" i="240"/>
  <c r="N13" i="240"/>
  <c r="M13" i="240"/>
  <c r="L13" i="240"/>
  <c r="K13" i="240"/>
  <c r="J13" i="240"/>
  <c r="F13" i="240"/>
  <c r="S12" i="240"/>
  <c r="R12" i="240"/>
  <c r="Q12" i="240"/>
  <c r="P12" i="240"/>
  <c r="O12" i="240"/>
  <c r="N12" i="240"/>
  <c r="M12" i="240"/>
  <c r="L12" i="240"/>
  <c r="K12" i="240"/>
  <c r="J12" i="240"/>
  <c r="F12" i="240"/>
  <c r="S11" i="240"/>
  <c r="R11" i="240"/>
  <c r="Q11" i="240"/>
  <c r="P11" i="240"/>
  <c r="O11" i="240"/>
  <c r="N11" i="240"/>
  <c r="M11" i="240"/>
  <c r="L11" i="240"/>
  <c r="K11" i="240"/>
  <c r="J11" i="240"/>
  <c r="F11" i="240"/>
  <c r="S10" i="240"/>
  <c r="R10" i="240"/>
  <c r="Q10" i="240"/>
  <c r="P10" i="240"/>
  <c r="O10" i="240"/>
  <c r="N10" i="240"/>
  <c r="M10" i="240"/>
  <c r="L10" i="240"/>
  <c r="K10" i="240"/>
  <c r="J10" i="240"/>
  <c r="F10" i="240"/>
  <c r="S9" i="240"/>
  <c r="R9" i="240"/>
  <c r="Q9" i="240"/>
  <c r="P9" i="240"/>
  <c r="O9" i="240"/>
  <c r="N9" i="240"/>
  <c r="M9" i="240"/>
  <c r="L9" i="240"/>
  <c r="K9" i="240"/>
  <c r="J9" i="240"/>
  <c r="F9" i="240"/>
  <c r="S8" i="240"/>
  <c r="R8" i="240"/>
  <c r="Q8" i="240"/>
  <c r="P8" i="240"/>
  <c r="O8" i="240"/>
  <c r="N8" i="240"/>
  <c r="M8" i="240"/>
  <c r="L8" i="240"/>
  <c r="K8" i="240"/>
  <c r="J8" i="240"/>
  <c r="F8" i="240"/>
  <c r="P256" i="237"/>
  <c r="P255" i="237"/>
  <c r="P254" i="237"/>
  <c r="P251" i="237"/>
  <c r="O251" i="237"/>
  <c r="N251" i="237"/>
  <c r="L251" i="237"/>
  <c r="K251" i="237"/>
  <c r="J251" i="237"/>
  <c r="I251" i="237"/>
  <c r="H251" i="237"/>
  <c r="G251" i="237"/>
  <c r="E251" i="237"/>
  <c r="C251" i="237"/>
  <c r="P249" i="237"/>
  <c r="O249" i="237"/>
  <c r="N249" i="237"/>
  <c r="L249" i="237"/>
  <c r="K249" i="237"/>
  <c r="J249" i="237"/>
  <c r="I249" i="237"/>
  <c r="H249" i="237"/>
  <c r="G249" i="237"/>
  <c r="E249" i="237"/>
  <c r="C249" i="237"/>
  <c r="P248" i="237"/>
  <c r="N248" i="237"/>
  <c r="L248" i="237"/>
  <c r="K248" i="237"/>
  <c r="J248" i="237"/>
  <c r="E248" i="237"/>
  <c r="P247" i="237"/>
  <c r="N247" i="237"/>
  <c r="L247" i="237"/>
  <c r="K247" i="237"/>
  <c r="J247" i="237"/>
  <c r="E247" i="237"/>
  <c r="P246" i="237"/>
  <c r="N246" i="237"/>
  <c r="L246" i="237"/>
  <c r="K246" i="237"/>
  <c r="J246" i="237"/>
  <c r="E246" i="237"/>
  <c r="P245" i="237"/>
  <c r="N245" i="237"/>
  <c r="L245" i="237"/>
  <c r="K245" i="237"/>
  <c r="J245" i="237"/>
  <c r="E245" i="237"/>
  <c r="P244" i="237"/>
  <c r="N244" i="237"/>
  <c r="L244" i="237"/>
  <c r="K244" i="237"/>
  <c r="J244" i="237"/>
  <c r="E244" i="237"/>
  <c r="P243" i="237"/>
  <c r="N243" i="237"/>
  <c r="L243" i="237"/>
  <c r="K243" i="237"/>
  <c r="J243" i="237"/>
  <c r="E243" i="237"/>
  <c r="P242" i="237"/>
  <c r="N242" i="237"/>
  <c r="L242" i="237"/>
  <c r="K242" i="237"/>
  <c r="J242" i="237"/>
  <c r="E242" i="237"/>
  <c r="P241" i="237"/>
  <c r="N241" i="237"/>
  <c r="L241" i="237"/>
  <c r="K241" i="237"/>
  <c r="J241" i="237"/>
  <c r="E241" i="237"/>
  <c r="P240" i="237"/>
  <c r="N240" i="237"/>
  <c r="L240" i="237"/>
  <c r="K240" i="237"/>
  <c r="J240" i="237"/>
  <c r="E240" i="237"/>
  <c r="P239" i="237"/>
  <c r="N239" i="237"/>
  <c r="L239" i="237"/>
  <c r="K239" i="237"/>
  <c r="J239" i="237"/>
  <c r="E239" i="237"/>
  <c r="P238" i="237"/>
  <c r="N238" i="237"/>
  <c r="L238" i="237"/>
  <c r="K238" i="237"/>
  <c r="J238" i="237"/>
  <c r="E238" i="237"/>
  <c r="P237" i="237"/>
  <c r="N237" i="237"/>
  <c r="L237" i="237"/>
  <c r="K237" i="237"/>
  <c r="J237" i="237"/>
  <c r="E237" i="237"/>
  <c r="P236" i="237"/>
  <c r="N236" i="237"/>
  <c r="L236" i="237"/>
  <c r="K236" i="237"/>
  <c r="J236" i="237"/>
  <c r="E236" i="237"/>
  <c r="P235" i="237"/>
  <c r="N235" i="237"/>
  <c r="L235" i="237"/>
  <c r="K235" i="237"/>
  <c r="J235" i="237"/>
  <c r="E235" i="237"/>
  <c r="P234" i="237"/>
  <c r="N234" i="237"/>
  <c r="L234" i="237"/>
  <c r="K234" i="237"/>
  <c r="J234" i="237"/>
  <c r="E234" i="237"/>
  <c r="P233" i="237"/>
  <c r="N233" i="237"/>
  <c r="L233" i="237"/>
  <c r="K233" i="237"/>
  <c r="J233" i="237"/>
  <c r="E233" i="237"/>
  <c r="P232" i="237"/>
  <c r="N232" i="237"/>
  <c r="L232" i="237"/>
  <c r="K232" i="237"/>
  <c r="J232" i="237"/>
  <c r="E232" i="237"/>
  <c r="P231" i="237"/>
  <c r="N231" i="237"/>
  <c r="L231" i="237"/>
  <c r="K231" i="237"/>
  <c r="J231" i="237"/>
  <c r="E231" i="237"/>
  <c r="P230" i="237"/>
  <c r="N230" i="237"/>
  <c r="L230" i="237"/>
  <c r="K230" i="237"/>
  <c r="J230" i="237"/>
  <c r="E230" i="237"/>
  <c r="P229" i="237"/>
  <c r="N229" i="237"/>
  <c r="L229" i="237"/>
  <c r="K229" i="237"/>
  <c r="J229" i="237"/>
  <c r="E229" i="237"/>
  <c r="P228" i="237"/>
  <c r="N228" i="237"/>
  <c r="L228" i="237"/>
  <c r="K228" i="237"/>
  <c r="J228" i="237"/>
  <c r="E228" i="237"/>
  <c r="P227" i="237"/>
  <c r="N227" i="237"/>
  <c r="L227" i="237"/>
  <c r="K227" i="237"/>
  <c r="J227" i="237"/>
  <c r="E227" i="237"/>
  <c r="P226" i="237"/>
  <c r="N226" i="237"/>
  <c r="L226" i="237"/>
  <c r="K226" i="237"/>
  <c r="J226" i="237"/>
  <c r="E226" i="237"/>
  <c r="P225" i="237"/>
  <c r="N225" i="237"/>
  <c r="L225" i="237"/>
  <c r="K225" i="237"/>
  <c r="J225" i="237"/>
  <c r="E225" i="237"/>
  <c r="P224" i="237"/>
  <c r="N224" i="237"/>
  <c r="L224" i="237"/>
  <c r="K224" i="237"/>
  <c r="J224" i="237"/>
  <c r="E224" i="237"/>
  <c r="P223" i="237"/>
  <c r="N223" i="237"/>
  <c r="L223" i="237"/>
  <c r="K223" i="237"/>
  <c r="J223" i="237"/>
  <c r="E223" i="237"/>
  <c r="P222" i="237"/>
  <c r="N222" i="237"/>
  <c r="L222" i="237"/>
  <c r="K222" i="237"/>
  <c r="J222" i="237"/>
  <c r="E222" i="237"/>
  <c r="P221" i="237"/>
  <c r="N221" i="237"/>
  <c r="L221" i="237"/>
  <c r="K221" i="237"/>
  <c r="J221" i="237"/>
  <c r="E221" i="237"/>
  <c r="P220" i="237"/>
  <c r="N220" i="237"/>
  <c r="L220" i="237"/>
  <c r="K220" i="237"/>
  <c r="J220" i="237"/>
  <c r="E220" i="237"/>
  <c r="P219" i="237"/>
  <c r="N219" i="237"/>
  <c r="L219" i="237"/>
  <c r="K219" i="237"/>
  <c r="J219" i="237"/>
  <c r="E219" i="237"/>
  <c r="P218" i="237"/>
  <c r="N218" i="237"/>
  <c r="L218" i="237"/>
  <c r="K218" i="237"/>
  <c r="J218" i="237"/>
  <c r="E218" i="237"/>
  <c r="P217" i="237"/>
  <c r="N217" i="237"/>
  <c r="L217" i="237"/>
  <c r="K217" i="237"/>
  <c r="J217" i="237"/>
  <c r="E217" i="237"/>
  <c r="P216" i="237"/>
  <c r="N216" i="237"/>
  <c r="L216" i="237"/>
  <c r="K216" i="237"/>
  <c r="J216" i="237"/>
  <c r="E216" i="237"/>
  <c r="P215" i="237"/>
  <c r="N215" i="237"/>
  <c r="L215" i="237"/>
  <c r="K215" i="237"/>
  <c r="J215" i="237"/>
  <c r="E215" i="237"/>
  <c r="P214" i="237"/>
  <c r="N214" i="237"/>
  <c r="L214" i="237"/>
  <c r="K214" i="237"/>
  <c r="J214" i="237"/>
  <c r="E214" i="237"/>
  <c r="P213" i="237"/>
  <c r="N213" i="237"/>
  <c r="L213" i="237"/>
  <c r="K213" i="237"/>
  <c r="J213" i="237"/>
  <c r="E213" i="237"/>
  <c r="P212" i="237"/>
  <c r="N212" i="237"/>
  <c r="L212" i="237"/>
  <c r="K212" i="237"/>
  <c r="J212" i="237"/>
  <c r="E212" i="237"/>
  <c r="P211" i="237"/>
  <c r="N211" i="237"/>
  <c r="L211" i="237"/>
  <c r="K211" i="237"/>
  <c r="J211" i="237"/>
  <c r="E211" i="237"/>
  <c r="P210" i="237"/>
  <c r="N210" i="237"/>
  <c r="L210" i="237"/>
  <c r="K210" i="237"/>
  <c r="J210" i="237"/>
  <c r="E210" i="237"/>
  <c r="P209" i="237"/>
  <c r="N209" i="237"/>
  <c r="L209" i="237"/>
  <c r="K209" i="237"/>
  <c r="J209" i="237"/>
  <c r="E209" i="237"/>
  <c r="P208" i="237"/>
  <c r="N208" i="237"/>
  <c r="L208" i="237"/>
  <c r="K208" i="237"/>
  <c r="J208" i="237"/>
  <c r="E208" i="237"/>
  <c r="P207" i="237"/>
  <c r="N207" i="237"/>
  <c r="L207" i="237"/>
  <c r="K207" i="237"/>
  <c r="J207" i="237"/>
  <c r="E207" i="237"/>
  <c r="P206" i="237"/>
  <c r="N206" i="237"/>
  <c r="L206" i="237"/>
  <c r="K206" i="237"/>
  <c r="J206" i="237"/>
  <c r="E206" i="237"/>
  <c r="P205" i="237"/>
  <c r="N205" i="237"/>
  <c r="L205" i="237"/>
  <c r="K205" i="237"/>
  <c r="J205" i="237"/>
  <c r="E205" i="237"/>
  <c r="P204" i="237"/>
  <c r="N204" i="237"/>
  <c r="L204" i="237"/>
  <c r="K204" i="237"/>
  <c r="J204" i="237"/>
  <c r="E204" i="237"/>
  <c r="P203" i="237"/>
  <c r="N203" i="237"/>
  <c r="L203" i="237"/>
  <c r="K203" i="237"/>
  <c r="J203" i="237"/>
  <c r="E203" i="237"/>
  <c r="P202" i="237"/>
  <c r="N202" i="237"/>
  <c r="L202" i="237"/>
  <c r="K202" i="237"/>
  <c r="J202" i="237"/>
  <c r="E202" i="237"/>
  <c r="P201" i="237"/>
  <c r="N201" i="237"/>
  <c r="L201" i="237"/>
  <c r="K201" i="237"/>
  <c r="J201" i="237"/>
  <c r="E201" i="237"/>
  <c r="P200" i="237"/>
  <c r="N200" i="237"/>
  <c r="L200" i="237"/>
  <c r="K200" i="237"/>
  <c r="J200" i="237"/>
  <c r="E200" i="237"/>
  <c r="P199" i="237"/>
  <c r="N199" i="237"/>
  <c r="L199" i="237"/>
  <c r="K199" i="237"/>
  <c r="J199" i="237"/>
  <c r="E199" i="237"/>
  <c r="P198" i="237"/>
  <c r="N198" i="237"/>
  <c r="L198" i="237"/>
  <c r="K198" i="237"/>
  <c r="J198" i="237"/>
  <c r="E198" i="237"/>
  <c r="P197" i="237"/>
  <c r="N197" i="237"/>
  <c r="L197" i="237"/>
  <c r="K197" i="237"/>
  <c r="J197" i="237"/>
  <c r="E197" i="237"/>
  <c r="P196" i="237"/>
  <c r="N196" i="237"/>
  <c r="L196" i="237"/>
  <c r="K196" i="237"/>
  <c r="J196" i="237"/>
  <c r="E196" i="237"/>
  <c r="P195" i="237"/>
  <c r="N195" i="237"/>
  <c r="L195" i="237"/>
  <c r="K195" i="237"/>
  <c r="J195" i="237"/>
  <c r="E195" i="237"/>
  <c r="P194" i="237"/>
  <c r="N194" i="237"/>
  <c r="L194" i="237"/>
  <c r="K194" i="237"/>
  <c r="J194" i="237"/>
  <c r="E194" i="237"/>
  <c r="P193" i="237"/>
  <c r="N193" i="237"/>
  <c r="L193" i="237"/>
  <c r="K193" i="237"/>
  <c r="J193" i="237"/>
  <c r="E193" i="237"/>
  <c r="P192" i="237"/>
  <c r="N192" i="237"/>
  <c r="L192" i="237"/>
  <c r="K192" i="237"/>
  <c r="J192" i="237"/>
  <c r="E192" i="237"/>
  <c r="P191" i="237"/>
  <c r="N191" i="237"/>
  <c r="L191" i="237"/>
  <c r="K191" i="237"/>
  <c r="J191" i="237"/>
  <c r="E191" i="237"/>
  <c r="P190" i="237"/>
  <c r="N190" i="237"/>
  <c r="L190" i="237"/>
  <c r="K190" i="237"/>
  <c r="J190" i="237"/>
  <c r="E190" i="237"/>
  <c r="P189" i="237"/>
  <c r="N189" i="237"/>
  <c r="L189" i="237"/>
  <c r="K189" i="237"/>
  <c r="J189" i="237"/>
  <c r="E189" i="237"/>
  <c r="P188" i="237"/>
  <c r="N188" i="237"/>
  <c r="L188" i="237"/>
  <c r="K188" i="237"/>
  <c r="J188" i="237"/>
  <c r="E188" i="237"/>
  <c r="P187" i="237"/>
  <c r="N187" i="237"/>
  <c r="L187" i="237"/>
  <c r="K187" i="237"/>
  <c r="J187" i="237"/>
  <c r="E187" i="237"/>
  <c r="P186" i="237"/>
  <c r="N186" i="237"/>
  <c r="L186" i="237"/>
  <c r="K186" i="237"/>
  <c r="J186" i="237"/>
  <c r="E186" i="237"/>
  <c r="P185" i="237"/>
  <c r="N185" i="237"/>
  <c r="L185" i="237"/>
  <c r="K185" i="237"/>
  <c r="J185" i="237"/>
  <c r="E185" i="237"/>
  <c r="P184" i="237"/>
  <c r="N184" i="237"/>
  <c r="L184" i="237"/>
  <c r="K184" i="237"/>
  <c r="J184" i="237"/>
  <c r="E184" i="237"/>
  <c r="P183" i="237"/>
  <c r="N183" i="237"/>
  <c r="L183" i="237"/>
  <c r="K183" i="237"/>
  <c r="J183" i="237"/>
  <c r="E183" i="237"/>
  <c r="P182" i="237"/>
  <c r="N182" i="237"/>
  <c r="L182" i="237"/>
  <c r="K182" i="237"/>
  <c r="J182" i="237"/>
  <c r="E182" i="237"/>
  <c r="P179" i="237"/>
  <c r="N179" i="237"/>
  <c r="L179" i="237"/>
  <c r="K179" i="237"/>
  <c r="J179" i="237"/>
  <c r="H179" i="237"/>
  <c r="G179" i="237"/>
  <c r="E179" i="237"/>
  <c r="C179" i="237"/>
  <c r="P178" i="237"/>
  <c r="N178" i="237"/>
  <c r="L178" i="237"/>
  <c r="K178" i="237"/>
  <c r="J178" i="237"/>
  <c r="E178" i="237"/>
  <c r="P177" i="237"/>
  <c r="N177" i="237"/>
  <c r="L177" i="237"/>
  <c r="K177" i="237"/>
  <c r="J177" i="237"/>
  <c r="E177" i="237"/>
  <c r="P176" i="237"/>
  <c r="N176" i="237"/>
  <c r="L176" i="237"/>
  <c r="K176" i="237"/>
  <c r="J176" i="237"/>
  <c r="E176" i="237"/>
  <c r="P175" i="237"/>
  <c r="N175" i="237"/>
  <c r="L175" i="237"/>
  <c r="K175" i="237"/>
  <c r="J175" i="237"/>
  <c r="E175" i="237"/>
  <c r="P174" i="237"/>
  <c r="N174" i="237"/>
  <c r="L174" i="237"/>
  <c r="K174" i="237"/>
  <c r="J174" i="237"/>
  <c r="E174" i="237"/>
  <c r="P173" i="237"/>
  <c r="N173" i="237"/>
  <c r="L173" i="237"/>
  <c r="K173" i="237"/>
  <c r="J173" i="237"/>
  <c r="E173" i="237"/>
  <c r="P172" i="237"/>
  <c r="N172" i="237"/>
  <c r="L172" i="237"/>
  <c r="K172" i="237"/>
  <c r="J172" i="237"/>
  <c r="E172" i="237"/>
  <c r="P171" i="237"/>
  <c r="N171" i="237"/>
  <c r="L171" i="237"/>
  <c r="K171" i="237"/>
  <c r="J171" i="237"/>
  <c r="E171" i="237"/>
  <c r="P170" i="237"/>
  <c r="N170" i="237"/>
  <c r="L170" i="237"/>
  <c r="K170" i="237"/>
  <c r="J170" i="237"/>
  <c r="E170" i="237"/>
  <c r="P169" i="237"/>
  <c r="N169" i="237"/>
  <c r="L169" i="237"/>
  <c r="K169" i="237"/>
  <c r="J169" i="237"/>
  <c r="E169" i="237"/>
  <c r="P168" i="237"/>
  <c r="N168" i="237"/>
  <c r="L168" i="237"/>
  <c r="K168" i="237"/>
  <c r="J168" i="237"/>
  <c r="E168" i="237"/>
  <c r="P167" i="237"/>
  <c r="N167" i="237"/>
  <c r="L167" i="237"/>
  <c r="K167" i="237"/>
  <c r="J167" i="237"/>
  <c r="E167" i="237"/>
  <c r="P164" i="237"/>
  <c r="N164" i="237"/>
  <c r="L164" i="237"/>
  <c r="K164" i="237"/>
  <c r="J164" i="237"/>
  <c r="H164" i="237"/>
  <c r="G164" i="237"/>
  <c r="E164" i="237"/>
  <c r="C164" i="237"/>
  <c r="P163" i="237"/>
  <c r="N163" i="237"/>
  <c r="L163" i="237"/>
  <c r="K163" i="237"/>
  <c r="J163" i="237"/>
  <c r="E163" i="237"/>
  <c r="P162" i="237"/>
  <c r="N162" i="237"/>
  <c r="L162" i="237"/>
  <c r="K162" i="237"/>
  <c r="J162" i="237"/>
  <c r="E162" i="237"/>
  <c r="P161" i="237"/>
  <c r="N161" i="237"/>
  <c r="L161" i="237"/>
  <c r="K161" i="237"/>
  <c r="J161" i="237"/>
  <c r="E161" i="237"/>
  <c r="P160" i="237"/>
  <c r="N160" i="237"/>
  <c r="L160" i="237"/>
  <c r="K160" i="237"/>
  <c r="J160" i="237"/>
  <c r="E160" i="237"/>
  <c r="P159" i="237"/>
  <c r="N159" i="237"/>
  <c r="L159" i="237"/>
  <c r="K159" i="237"/>
  <c r="J159" i="237"/>
  <c r="E159" i="237"/>
  <c r="P156" i="237"/>
  <c r="N156" i="237"/>
  <c r="L156" i="237"/>
  <c r="K156" i="237"/>
  <c r="J156" i="237"/>
  <c r="H156" i="237"/>
  <c r="G156" i="237"/>
  <c r="E156" i="237"/>
  <c r="C156" i="237"/>
  <c r="P155" i="237"/>
  <c r="N155" i="237"/>
  <c r="L155" i="237"/>
  <c r="K155" i="237"/>
  <c r="J155" i="237"/>
  <c r="E155" i="237"/>
  <c r="P154" i="237"/>
  <c r="N154" i="237"/>
  <c r="L154" i="237"/>
  <c r="K154" i="237"/>
  <c r="J154" i="237"/>
  <c r="E154" i="237"/>
  <c r="P153" i="237"/>
  <c r="N153" i="237"/>
  <c r="L153" i="237"/>
  <c r="K153" i="237"/>
  <c r="J153" i="237"/>
  <c r="E153" i="237"/>
  <c r="P152" i="237"/>
  <c r="N152" i="237"/>
  <c r="L152" i="237"/>
  <c r="K152" i="237"/>
  <c r="J152" i="237"/>
  <c r="E152" i="237"/>
  <c r="P151" i="237"/>
  <c r="N151" i="237"/>
  <c r="L151" i="237"/>
  <c r="K151" i="237"/>
  <c r="J151" i="237"/>
  <c r="E151" i="237"/>
  <c r="P150" i="237"/>
  <c r="L150" i="237"/>
  <c r="K150" i="237"/>
  <c r="J150" i="237"/>
  <c r="E150" i="237"/>
  <c r="P149" i="237"/>
  <c r="N149" i="237"/>
  <c r="L149" i="237"/>
  <c r="K149" i="237"/>
  <c r="J149" i="237"/>
  <c r="E149" i="237"/>
  <c r="P148" i="237"/>
  <c r="N148" i="237"/>
  <c r="L148" i="237"/>
  <c r="K148" i="237"/>
  <c r="J148" i="237"/>
  <c r="E148" i="237"/>
  <c r="P145" i="237"/>
  <c r="N145" i="237"/>
  <c r="L145" i="237"/>
  <c r="K145" i="237"/>
  <c r="J145" i="237"/>
  <c r="H145" i="237"/>
  <c r="G145" i="237"/>
  <c r="E145" i="237"/>
  <c r="C145" i="237"/>
  <c r="P144" i="237"/>
  <c r="N144" i="237"/>
  <c r="L144" i="237"/>
  <c r="K144" i="237"/>
  <c r="J144" i="237"/>
  <c r="E144" i="237"/>
  <c r="P143" i="237"/>
  <c r="N143" i="237"/>
  <c r="L143" i="237"/>
  <c r="K143" i="237"/>
  <c r="J143" i="237"/>
  <c r="E143" i="237"/>
  <c r="P142" i="237"/>
  <c r="N142" i="237"/>
  <c r="L142" i="237"/>
  <c r="K142" i="237"/>
  <c r="J142" i="237"/>
  <c r="E142" i="237"/>
  <c r="P141" i="237"/>
  <c r="N141" i="237"/>
  <c r="L141" i="237"/>
  <c r="K141" i="237"/>
  <c r="J141" i="237"/>
  <c r="E141" i="237"/>
  <c r="P140" i="237"/>
  <c r="N140" i="237"/>
  <c r="L140" i="237"/>
  <c r="K140" i="237"/>
  <c r="J140" i="237"/>
  <c r="E140" i="237"/>
  <c r="P139" i="237"/>
  <c r="N139" i="237"/>
  <c r="L139" i="237"/>
  <c r="K139" i="237"/>
  <c r="J139" i="237"/>
  <c r="E139" i="237"/>
  <c r="P138" i="237"/>
  <c r="N138" i="237"/>
  <c r="L138" i="237"/>
  <c r="K138" i="237"/>
  <c r="J138" i="237"/>
  <c r="E138" i="237"/>
  <c r="P137" i="237"/>
  <c r="N137" i="237"/>
  <c r="L137" i="237"/>
  <c r="K137" i="237"/>
  <c r="J137" i="237"/>
  <c r="E137" i="237"/>
  <c r="P136" i="237"/>
  <c r="N136" i="237"/>
  <c r="L136" i="237"/>
  <c r="K136" i="237"/>
  <c r="J136" i="237"/>
  <c r="E136" i="237"/>
  <c r="P135" i="237"/>
  <c r="N135" i="237"/>
  <c r="L135" i="237"/>
  <c r="K135" i="237"/>
  <c r="J135" i="237"/>
  <c r="E135" i="237"/>
  <c r="P134" i="237"/>
  <c r="N134" i="237"/>
  <c r="L134" i="237"/>
  <c r="K134" i="237"/>
  <c r="J134" i="237"/>
  <c r="E134" i="237"/>
  <c r="P131" i="237"/>
  <c r="N131" i="237"/>
  <c r="L131" i="237"/>
  <c r="K131" i="237"/>
  <c r="J131" i="237"/>
  <c r="H131" i="237"/>
  <c r="G131" i="237"/>
  <c r="E131" i="237"/>
  <c r="C131" i="237"/>
  <c r="P130" i="237"/>
  <c r="N130" i="237"/>
  <c r="L130" i="237"/>
  <c r="K130" i="237"/>
  <c r="J130" i="237"/>
  <c r="E130" i="237"/>
  <c r="P129" i="237"/>
  <c r="N129" i="237"/>
  <c r="L129" i="237"/>
  <c r="K129" i="237"/>
  <c r="J129" i="237"/>
  <c r="E129" i="237"/>
  <c r="P128" i="237"/>
  <c r="N128" i="237"/>
  <c r="L128" i="237"/>
  <c r="K128" i="237"/>
  <c r="J128" i="237"/>
  <c r="E128" i="237"/>
  <c r="P127" i="237"/>
  <c r="N127" i="237"/>
  <c r="L127" i="237"/>
  <c r="K127" i="237"/>
  <c r="J127" i="237"/>
  <c r="E127" i="237"/>
  <c r="P126" i="237"/>
  <c r="N126" i="237"/>
  <c r="L126" i="237"/>
  <c r="K126" i="237"/>
  <c r="J126" i="237"/>
  <c r="E126" i="237"/>
  <c r="P125" i="237"/>
  <c r="N125" i="237"/>
  <c r="L125" i="237"/>
  <c r="K125" i="237"/>
  <c r="J125" i="237"/>
  <c r="E125" i="237"/>
  <c r="P124" i="237"/>
  <c r="N124" i="237"/>
  <c r="L124" i="237"/>
  <c r="K124" i="237"/>
  <c r="J124" i="237"/>
  <c r="E124" i="237"/>
  <c r="P121" i="237"/>
  <c r="N121" i="237"/>
  <c r="L121" i="237"/>
  <c r="K121" i="237"/>
  <c r="J121" i="237"/>
  <c r="H121" i="237"/>
  <c r="G121" i="237"/>
  <c r="E121" i="237"/>
  <c r="C121" i="237"/>
  <c r="P120" i="237"/>
  <c r="N120" i="237"/>
  <c r="L120" i="237"/>
  <c r="K120" i="237"/>
  <c r="J120" i="237"/>
  <c r="E120" i="237"/>
  <c r="P119" i="237"/>
  <c r="N119" i="237"/>
  <c r="L119" i="237"/>
  <c r="K119" i="237"/>
  <c r="J119" i="237"/>
  <c r="E119" i="237"/>
  <c r="P118" i="237"/>
  <c r="N118" i="237"/>
  <c r="L118" i="237"/>
  <c r="K118" i="237"/>
  <c r="J118" i="237"/>
  <c r="E118" i="237"/>
  <c r="P117" i="237"/>
  <c r="N117" i="237"/>
  <c r="L117" i="237"/>
  <c r="K117" i="237"/>
  <c r="J117" i="237"/>
  <c r="E117" i="237"/>
  <c r="P116" i="237"/>
  <c r="N116" i="237"/>
  <c r="L116" i="237"/>
  <c r="K116" i="237"/>
  <c r="J116" i="237"/>
  <c r="E116" i="237"/>
  <c r="P115" i="237"/>
  <c r="N115" i="237"/>
  <c r="L115" i="237"/>
  <c r="K115" i="237"/>
  <c r="J115" i="237"/>
  <c r="E115" i="237"/>
  <c r="P114" i="237"/>
  <c r="N114" i="237"/>
  <c r="L114" i="237"/>
  <c r="K114" i="237"/>
  <c r="J114" i="237"/>
  <c r="E114" i="237"/>
  <c r="P113" i="237"/>
  <c r="N113" i="237"/>
  <c r="L113" i="237"/>
  <c r="K113" i="237"/>
  <c r="J113" i="237"/>
  <c r="E113" i="237"/>
  <c r="P112" i="237"/>
  <c r="N112" i="237"/>
  <c r="L112" i="237"/>
  <c r="K112" i="237"/>
  <c r="J112" i="237"/>
  <c r="E112" i="237"/>
  <c r="P111" i="237"/>
  <c r="N111" i="237"/>
  <c r="L111" i="237"/>
  <c r="K111" i="237"/>
  <c r="J111" i="237"/>
  <c r="E111" i="237"/>
  <c r="P110" i="237"/>
  <c r="N110" i="237"/>
  <c r="L110" i="237"/>
  <c r="K110" i="237"/>
  <c r="J110" i="237"/>
  <c r="E110" i="237"/>
  <c r="P109" i="237"/>
  <c r="N109" i="237"/>
  <c r="L109" i="237"/>
  <c r="K109" i="237"/>
  <c r="J109" i="237"/>
  <c r="E109" i="237"/>
  <c r="P108" i="237"/>
  <c r="N108" i="237"/>
  <c r="L108" i="237"/>
  <c r="K108" i="237"/>
  <c r="J108" i="237"/>
  <c r="E108" i="237"/>
  <c r="P105" i="237"/>
  <c r="N105" i="237"/>
  <c r="L105" i="237"/>
  <c r="K105" i="237"/>
  <c r="J105" i="237"/>
  <c r="H105" i="237"/>
  <c r="G105" i="237"/>
  <c r="E105" i="237"/>
  <c r="C105" i="237"/>
  <c r="P104" i="237"/>
  <c r="N104" i="237"/>
  <c r="L104" i="237"/>
  <c r="K104" i="237"/>
  <c r="J104" i="237"/>
  <c r="E104" i="237"/>
  <c r="P103" i="237"/>
  <c r="N103" i="237"/>
  <c r="L103" i="237"/>
  <c r="K103" i="237"/>
  <c r="J103" i="237"/>
  <c r="E103" i="237"/>
  <c r="P102" i="237"/>
  <c r="N102" i="237"/>
  <c r="L102" i="237"/>
  <c r="K102" i="237"/>
  <c r="J102" i="237"/>
  <c r="E102" i="237"/>
  <c r="P101" i="237"/>
  <c r="N101" i="237"/>
  <c r="L101" i="237"/>
  <c r="K101" i="237"/>
  <c r="J101" i="237"/>
  <c r="E101" i="237"/>
  <c r="P100" i="237"/>
  <c r="N100" i="237"/>
  <c r="L100" i="237"/>
  <c r="K100" i="237"/>
  <c r="J100" i="237"/>
  <c r="E100" i="237"/>
  <c r="P99" i="237"/>
  <c r="N99" i="237"/>
  <c r="L99" i="237"/>
  <c r="K99" i="237"/>
  <c r="J99" i="237"/>
  <c r="E99" i="237"/>
  <c r="P98" i="237"/>
  <c r="N98" i="237"/>
  <c r="L98" i="237"/>
  <c r="K98" i="237"/>
  <c r="J98" i="237"/>
  <c r="E98" i="237"/>
  <c r="P97" i="237"/>
  <c r="N97" i="237"/>
  <c r="L97" i="237"/>
  <c r="K97" i="237"/>
  <c r="J97" i="237"/>
  <c r="E97" i="237"/>
  <c r="P96" i="237"/>
  <c r="N96" i="237"/>
  <c r="L96" i="237"/>
  <c r="K96" i="237"/>
  <c r="J96" i="237"/>
  <c r="E96" i="237"/>
  <c r="P95" i="237"/>
  <c r="N95" i="237"/>
  <c r="L95" i="237"/>
  <c r="K95" i="237"/>
  <c r="J95" i="237"/>
  <c r="E95" i="237"/>
  <c r="P94" i="237"/>
  <c r="N94" i="237"/>
  <c r="L94" i="237"/>
  <c r="K94" i="237"/>
  <c r="J94" i="237"/>
  <c r="E94" i="237"/>
  <c r="P91" i="237"/>
  <c r="N91" i="237"/>
  <c r="L91" i="237"/>
  <c r="K91" i="237"/>
  <c r="J91" i="237"/>
  <c r="H91" i="237"/>
  <c r="G91" i="237"/>
  <c r="E91" i="237"/>
  <c r="C91" i="237"/>
  <c r="P90" i="237"/>
  <c r="N90" i="237"/>
  <c r="L90" i="237"/>
  <c r="K90" i="237"/>
  <c r="J90" i="237"/>
  <c r="E90" i="237"/>
  <c r="P89" i="237"/>
  <c r="N89" i="237"/>
  <c r="L89" i="237"/>
  <c r="K89" i="237"/>
  <c r="J89" i="237"/>
  <c r="E89" i="237"/>
  <c r="P88" i="237"/>
  <c r="N88" i="237"/>
  <c r="L88" i="237"/>
  <c r="K88" i="237"/>
  <c r="J88" i="237"/>
  <c r="E88" i="237"/>
  <c r="P87" i="237"/>
  <c r="N87" i="237"/>
  <c r="L87" i="237"/>
  <c r="K87" i="237"/>
  <c r="J87" i="237"/>
  <c r="E87" i="237"/>
  <c r="P86" i="237"/>
  <c r="N86" i="237"/>
  <c r="L86" i="237"/>
  <c r="K86" i="237"/>
  <c r="J86" i="237"/>
  <c r="E86" i="237"/>
  <c r="P85" i="237"/>
  <c r="N85" i="237"/>
  <c r="L85" i="237"/>
  <c r="K85" i="237"/>
  <c r="J85" i="237"/>
  <c r="E85" i="237"/>
  <c r="P84" i="237"/>
  <c r="N84" i="237"/>
  <c r="L84" i="237"/>
  <c r="K84" i="237"/>
  <c r="J84" i="237"/>
  <c r="E84" i="237"/>
  <c r="P83" i="237"/>
  <c r="N83" i="237"/>
  <c r="L83" i="237"/>
  <c r="K83" i="237"/>
  <c r="J83" i="237"/>
  <c r="E83" i="237"/>
  <c r="P82" i="237"/>
  <c r="N82" i="237"/>
  <c r="L82" i="237"/>
  <c r="K82" i="237"/>
  <c r="J82" i="237"/>
  <c r="E82" i="237"/>
  <c r="P81" i="237"/>
  <c r="N81" i="237"/>
  <c r="L81" i="237"/>
  <c r="K81" i="237"/>
  <c r="J81" i="237"/>
  <c r="E81" i="237"/>
  <c r="P80" i="237"/>
  <c r="N80" i="237"/>
  <c r="L80" i="237"/>
  <c r="K80" i="237"/>
  <c r="J80" i="237"/>
  <c r="E80" i="237"/>
  <c r="P77" i="237"/>
  <c r="N77" i="237"/>
  <c r="L77" i="237"/>
  <c r="K77" i="237"/>
  <c r="J77" i="237"/>
  <c r="H77" i="237"/>
  <c r="G77" i="237"/>
  <c r="E77" i="237"/>
  <c r="C77" i="237"/>
  <c r="P76" i="237"/>
  <c r="N76" i="237"/>
  <c r="L76" i="237"/>
  <c r="K76" i="237"/>
  <c r="J76" i="237"/>
  <c r="E76" i="237"/>
  <c r="P75" i="237"/>
  <c r="N75" i="237"/>
  <c r="L75" i="237"/>
  <c r="K75" i="237"/>
  <c r="J75" i="237"/>
  <c r="E75" i="237"/>
  <c r="P72" i="237"/>
  <c r="N72" i="237"/>
  <c r="L72" i="237"/>
  <c r="K72" i="237"/>
  <c r="J72" i="237"/>
  <c r="H72" i="237"/>
  <c r="G72" i="237"/>
  <c r="E72" i="237"/>
  <c r="C72" i="237"/>
  <c r="P71" i="237"/>
  <c r="N71" i="237"/>
  <c r="L71" i="237"/>
  <c r="K71" i="237"/>
  <c r="J71" i="237"/>
  <c r="E71" i="237"/>
  <c r="P70" i="237"/>
  <c r="N70" i="237"/>
  <c r="L70" i="237"/>
  <c r="K70" i="237"/>
  <c r="J70" i="237"/>
  <c r="E70" i="237"/>
  <c r="P69" i="237"/>
  <c r="N69" i="237"/>
  <c r="L69" i="237"/>
  <c r="K69" i="237"/>
  <c r="J69" i="237"/>
  <c r="E69" i="237"/>
  <c r="P68" i="237"/>
  <c r="N68" i="237"/>
  <c r="L68" i="237"/>
  <c r="K68" i="237"/>
  <c r="J68" i="237"/>
  <c r="E68" i="237"/>
  <c r="P67" i="237"/>
  <c r="N67" i="237"/>
  <c r="L67" i="237"/>
  <c r="K67" i="237"/>
  <c r="J67" i="237"/>
  <c r="E67" i="237"/>
  <c r="P66" i="237"/>
  <c r="N66" i="237"/>
  <c r="L66" i="237"/>
  <c r="K66" i="237"/>
  <c r="J66" i="237"/>
  <c r="E66" i="237"/>
  <c r="P65" i="237"/>
  <c r="N65" i="237"/>
  <c r="L65" i="237"/>
  <c r="K65" i="237"/>
  <c r="J65" i="237"/>
  <c r="E65" i="237"/>
  <c r="P64" i="237"/>
  <c r="N64" i="237"/>
  <c r="L64" i="237"/>
  <c r="K64" i="237"/>
  <c r="J64" i="237"/>
  <c r="E64" i="237"/>
  <c r="P63" i="237"/>
  <c r="N63" i="237"/>
  <c r="L63" i="237"/>
  <c r="K63" i="237"/>
  <c r="J63" i="237"/>
  <c r="E63" i="237"/>
  <c r="P62" i="237"/>
  <c r="N62" i="237"/>
  <c r="L62" i="237"/>
  <c r="K62" i="237"/>
  <c r="J62" i="237"/>
  <c r="E62" i="237"/>
  <c r="P61" i="237"/>
  <c r="N61" i="237"/>
  <c r="L61" i="237"/>
  <c r="K61" i="237"/>
  <c r="J61" i="237"/>
  <c r="E61" i="237"/>
  <c r="P60" i="237"/>
  <c r="N60" i="237"/>
  <c r="L60" i="237"/>
  <c r="K60" i="237"/>
  <c r="J60" i="237"/>
  <c r="E60" i="237"/>
  <c r="P57" i="237"/>
  <c r="N57" i="237"/>
  <c r="L57" i="237"/>
  <c r="K57" i="237"/>
  <c r="J57" i="237"/>
  <c r="H57" i="237"/>
  <c r="G57" i="237"/>
  <c r="E57" i="237"/>
  <c r="C57" i="237"/>
  <c r="P56" i="237"/>
  <c r="N56" i="237"/>
  <c r="L56" i="237"/>
  <c r="K56" i="237"/>
  <c r="J56" i="237"/>
  <c r="E56" i="237"/>
  <c r="P55" i="237"/>
  <c r="N55" i="237"/>
  <c r="L55" i="237"/>
  <c r="K55" i="237"/>
  <c r="J55" i="237"/>
  <c r="E55" i="237"/>
  <c r="P54" i="237"/>
  <c r="N54" i="237"/>
  <c r="L54" i="237"/>
  <c r="K54" i="237"/>
  <c r="J54" i="237"/>
  <c r="E54" i="237"/>
  <c r="P53" i="237"/>
  <c r="N53" i="237"/>
  <c r="L53" i="237"/>
  <c r="K53" i="237"/>
  <c r="J53" i="237"/>
  <c r="E53" i="237"/>
  <c r="P52" i="237"/>
  <c r="N52" i="237"/>
  <c r="L52" i="237"/>
  <c r="K52" i="237"/>
  <c r="J52" i="237"/>
  <c r="E52" i="237"/>
  <c r="P51" i="237"/>
  <c r="N51" i="237"/>
  <c r="L51" i="237"/>
  <c r="K51" i="237"/>
  <c r="J51" i="237"/>
  <c r="E51" i="237"/>
  <c r="P50" i="237"/>
  <c r="N50" i="237"/>
  <c r="L50" i="237"/>
  <c r="K50" i="237"/>
  <c r="J50" i="237"/>
  <c r="E50" i="237"/>
  <c r="P47" i="237"/>
  <c r="N47" i="237"/>
  <c r="M47" i="237"/>
  <c r="L47" i="237"/>
  <c r="K47" i="237"/>
  <c r="J47" i="237"/>
  <c r="I47" i="237"/>
  <c r="H47" i="237"/>
  <c r="G47" i="237"/>
  <c r="F47" i="237"/>
  <c r="E47" i="237"/>
  <c r="C47" i="237"/>
  <c r="P46" i="237"/>
  <c r="N46" i="237"/>
  <c r="L46" i="237"/>
  <c r="K46" i="237"/>
  <c r="J46" i="237"/>
  <c r="E46" i="237"/>
  <c r="P45" i="237"/>
  <c r="N45" i="237"/>
  <c r="L45" i="237"/>
  <c r="K45" i="237"/>
  <c r="J45" i="237"/>
  <c r="E45" i="237"/>
  <c r="P44" i="237"/>
  <c r="N44" i="237"/>
  <c r="L44" i="237"/>
  <c r="K44" i="237"/>
  <c r="J44" i="237"/>
  <c r="E44" i="237"/>
  <c r="P43" i="237"/>
  <c r="N43" i="237"/>
  <c r="L43" i="237"/>
  <c r="K43" i="237"/>
  <c r="J43" i="237"/>
  <c r="E43" i="237"/>
  <c r="P42" i="237"/>
  <c r="N42" i="237"/>
  <c r="L42" i="237"/>
  <c r="K42" i="237"/>
  <c r="J42" i="237"/>
  <c r="E42" i="237"/>
  <c r="P41" i="237"/>
  <c r="N41" i="237"/>
  <c r="L41" i="237"/>
  <c r="K41" i="237"/>
  <c r="J41" i="237"/>
  <c r="E41" i="237"/>
  <c r="P40" i="237"/>
  <c r="N40" i="237"/>
  <c r="L40" i="237"/>
  <c r="K40" i="237"/>
  <c r="J40" i="237"/>
  <c r="E40" i="237"/>
  <c r="P39" i="237"/>
  <c r="N39" i="237"/>
  <c r="L39" i="237"/>
  <c r="K39" i="237"/>
  <c r="J39" i="237"/>
  <c r="E39" i="237"/>
  <c r="P38" i="237"/>
  <c r="N38" i="237"/>
  <c r="L38" i="237"/>
  <c r="K38" i="237"/>
  <c r="J38" i="237"/>
  <c r="E38" i="237"/>
  <c r="P37" i="237"/>
  <c r="N37" i="237"/>
  <c r="L37" i="237"/>
  <c r="K37" i="237"/>
  <c r="J37" i="237"/>
  <c r="E37" i="237"/>
  <c r="P36" i="237"/>
  <c r="N36" i="237"/>
  <c r="L36" i="237"/>
  <c r="K36" i="237"/>
  <c r="J36" i="237"/>
  <c r="E36" i="237"/>
  <c r="P35" i="237"/>
  <c r="N35" i="237"/>
  <c r="L35" i="237"/>
  <c r="K35" i="237"/>
  <c r="J35" i="237"/>
  <c r="E35" i="237"/>
  <c r="P34" i="237"/>
  <c r="N34" i="237"/>
  <c r="L34" i="237"/>
  <c r="K34" i="237"/>
  <c r="J34" i="237"/>
  <c r="E34" i="237"/>
  <c r="P33" i="237"/>
  <c r="N33" i="237"/>
  <c r="L33" i="237"/>
  <c r="K33" i="237"/>
  <c r="J33" i="237"/>
  <c r="E33" i="237"/>
  <c r="P32" i="237"/>
  <c r="N32" i="237"/>
  <c r="L32" i="237"/>
  <c r="K32" i="237"/>
  <c r="J32" i="237"/>
  <c r="E32" i="237"/>
  <c r="P31" i="237"/>
  <c r="N31" i="237"/>
  <c r="L31" i="237"/>
  <c r="K31" i="237"/>
  <c r="J31" i="237"/>
  <c r="E31" i="237"/>
  <c r="P30" i="237"/>
  <c r="N30" i="237"/>
  <c r="L30" i="237"/>
  <c r="K30" i="237"/>
  <c r="J30" i="237"/>
  <c r="E30" i="237"/>
  <c r="P29" i="237"/>
  <c r="N29" i="237"/>
  <c r="L29" i="237"/>
  <c r="K29" i="237"/>
  <c r="J29" i="237"/>
  <c r="E29" i="237"/>
  <c r="P28" i="237"/>
  <c r="N28" i="237"/>
  <c r="L28" i="237"/>
  <c r="K28" i="237"/>
  <c r="J28" i="237"/>
  <c r="E28" i="237"/>
  <c r="P27" i="237"/>
  <c r="N27" i="237"/>
  <c r="L27" i="237"/>
  <c r="K27" i="237"/>
  <c r="J27" i="237"/>
  <c r="E27" i="237"/>
  <c r="P26" i="237"/>
  <c r="N26" i="237"/>
  <c r="L26" i="237"/>
  <c r="K26" i="237"/>
  <c r="J26" i="237"/>
  <c r="E26" i="237"/>
  <c r="P25" i="237"/>
  <c r="N25" i="237"/>
  <c r="L25" i="237"/>
  <c r="K25" i="237"/>
  <c r="J25" i="237"/>
  <c r="E25" i="237"/>
  <c r="P24" i="237"/>
  <c r="N24" i="237"/>
  <c r="L24" i="237"/>
  <c r="K24" i="237"/>
  <c r="J24" i="237"/>
  <c r="E24" i="237"/>
  <c r="P23" i="237"/>
  <c r="N23" i="237"/>
  <c r="L23" i="237"/>
  <c r="K23" i="237"/>
  <c r="J23" i="237"/>
  <c r="E23" i="237"/>
  <c r="P22" i="237"/>
  <c r="N22" i="237"/>
  <c r="L22" i="237"/>
  <c r="K22" i="237"/>
  <c r="J22" i="237"/>
  <c r="E22" i="237"/>
  <c r="P21" i="237"/>
  <c r="N21" i="237"/>
  <c r="L21" i="237"/>
  <c r="K21" i="237"/>
  <c r="J21" i="237"/>
  <c r="E21" i="237"/>
  <c r="P20" i="237"/>
  <c r="N20" i="237"/>
  <c r="L20" i="237"/>
  <c r="K20" i="237"/>
  <c r="J20" i="237"/>
  <c r="E20" i="237"/>
  <c r="P19" i="237"/>
  <c r="N19" i="237"/>
  <c r="L19" i="237"/>
  <c r="K19" i="237"/>
  <c r="J19" i="237"/>
  <c r="E19" i="237"/>
  <c r="P18" i="237"/>
  <c r="N18" i="237"/>
  <c r="L18" i="237"/>
  <c r="K18" i="237"/>
  <c r="J18" i="237"/>
  <c r="E18" i="237"/>
  <c r="P17" i="237"/>
  <c r="N17" i="237"/>
  <c r="L17" i="237"/>
  <c r="K17" i="237"/>
  <c r="J17" i="237"/>
  <c r="E17" i="237"/>
  <c r="P16" i="237"/>
  <c r="N16" i="237"/>
  <c r="L16" i="237"/>
  <c r="K16" i="237"/>
  <c r="J16" i="237"/>
  <c r="E16" i="237"/>
  <c r="P15" i="237"/>
  <c r="N15" i="237"/>
  <c r="L15" i="237"/>
  <c r="K15" i="237"/>
  <c r="J15" i="237"/>
  <c r="E15" i="237"/>
  <c r="P14" i="237"/>
  <c r="N14" i="237"/>
  <c r="L14" i="237"/>
  <c r="K14" i="237"/>
  <c r="J14" i="237"/>
  <c r="E14" i="237"/>
  <c r="P13" i="237"/>
  <c r="N13" i="237"/>
  <c r="L13" i="237"/>
  <c r="K13" i="237"/>
  <c r="J13" i="237"/>
  <c r="E13" i="237"/>
  <c r="P12" i="237"/>
  <c r="N12" i="237"/>
  <c r="L12" i="237"/>
  <c r="K12" i="237"/>
  <c r="J12" i="237"/>
  <c r="E12" i="237"/>
  <c r="P11" i="237"/>
  <c r="N11" i="237"/>
  <c r="L11" i="237"/>
  <c r="K11" i="237"/>
  <c r="J11" i="237"/>
  <c r="E11" i="237"/>
  <c r="P10" i="237"/>
  <c r="N10" i="237"/>
  <c r="L10" i="237"/>
  <c r="K10" i="237"/>
  <c r="J10" i="237"/>
  <c r="E10" i="237"/>
  <c r="P9" i="237"/>
  <c r="N9" i="237"/>
  <c r="L9" i="237"/>
  <c r="K9" i="237"/>
  <c r="J9" i="237"/>
  <c r="E9" i="237"/>
  <c r="P8" i="237"/>
  <c r="N8" i="237"/>
  <c r="L8" i="237"/>
  <c r="K8" i="237"/>
  <c r="J8" i="237"/>
  <c r="E8" i="237"/>
  <c r="P7" i="237"/>
  <c r="N7" i="237"/>
  <c r="L7" i="237"/>
  <c r="K7" i="237"/>
  <c r="J7" i="237"/>
  <c r="E7" i="237"/>
  <c r="P6" i="237"/>
  <c r="N6" i="237"/>
  <c r="L6" i="237"/>
  <c r="K6" i="237"/>
  <c r="J6" i="237"/>
  <c r="E6" i="237"/>
  <c r="C172" i="68"/>
  <c r="H62" i="68"/>
  <c r="F62" i="68"/>
  <c r="E62" i="68"/>
  <c r="H61" i="68"/>
  <c r="G61" i="68"/>
  <c r="F61" i="68"/>
  <c r="H60" i="68"/>
  <c r="G60" i="68"/>
  <c r="F60" i="68"/>
  <c r="H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4" i="68"/>
  <c r="H43" i="68"/>
  <c r="H36" i="68"/>
  <c r="H33" i="68"/>
  <c r="H32" i="68"/>
  <c r="H31" i="68"/>
  <c r="H30" i="68"/>
  <c r="G29" i="68"/>
  <c r="G28" i="68"/>
  <c r="G27" i="68"/>
  <c r="G26" i="68"/>
  <c r="G25" i="68"/>
  <c r="G24" i="68"/>
  <c r="G23" i="68"/>
  <c r="H20" i="68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C248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U246" i="1"/>
  <c r="S246" i="1"/>
  <c r="J246" i="1"/>
  <c r="H246" i="1"/>
  <c r="U245" i="1"/>
  <c r="S245" i="1"/>
  <c r="J245" i="1"/>
  <c r="H245" i="1"/>
  <c r="U244" i="1"/>
  <c r="S244" i="1"/>
  <c r="M244" i="1"/>
  <c r="J244" i="1"/>
  <c r="U243" i="1"/>
  <c r="S243" i="1"/>
  <c r="J243" i="1"/>
  <c r="U242" i="1"/>
  <c r="S242" i="1"/>
  <c r="J242" i="1"/>
  <c r="U241" i="1"/>
  <c r="S241" i="1"/>
  <c r="J241" i="1"/>
  <c r="I241" i="1"/>
  <c r="H241" i="1"/>
  <c r="U240" i="1"/>
  <c r="S240" i="1"/>
  <c r="J240" i="1"/>
  <c r="I240" i="1"/>
  <c r="H240" i="1"/>
  <c r="U239" i="1"/>
  <c r="S239" i="1"/>
  <c r="J239" i="1"/>
  <c r="U238" i="1"/>
  <c r="S238" i="1"/>
  <c r="M238" i="1"/>
  <c r="J238" i="1"/>
  <c r="I238" i="1"/>
  <c r="U237" i="1"/>
  <c r="S237" i="1"/>
  <c r="M237" i="1"/>
  <c r="J237" i="1"/>
  <c r="I237" i="1"/>
  <c r="H237" i="1"/>
  <c r="U236" i="1"/>
  <c r="S236" i="1"/>
  <c r="J236" i="1"/>
  <c r="I236" i="1"/>
  <c r="H236" i="1"/>
  <c r="U235" i="1"/>
  <c r="S235" i="1"/>
  <c r="J235" i="1"/>
  <c r="I235" i="1"/>
  <c r="H235" i="1"/>
  <c r="U234" i="1"/>
  <c r="S234" i="1"/>
  <c r="J234" i="1"/>
  <c r="I234" i="1"/>
  <c r="H234" i="1"/>
  <c r="U233" i="1"/>
  <c r="S233" i="1"/>
  <c r="M233" i="1"/>
  <c r="J233" i="1"/>
  <c r="I233" i="1"/>
  <c r="H233" i="1"/>
  <c r="U232" i="1"/>
  <c r="S232" i="1"/>
  <c r="M232" i="1"/>
  <c r="J232" i="1"/>
  <c r="I232" i="1"/>
  <c r="H232" i="1"/>
  <c r="U231" i="1"/>
  <c r="S231" i="1"/>
  <c r="J231" i="1"/>
  <c r="I231" i="1"/>
  <c r="H231" i="1"/>
  <c r="U230" i="1"/>
  <c r="S230" i="1"/>
  <c r="J230" i="1"/>
  <c r="I230" i="1"/>
  <c r="H230" i="1"/>
  <c r="U229" i="1"/>
  <c r="S229" i="1"/>
  <c r="M229" i="1"/>
  <c r="J229" i="1"/>
  <c r="I229" i="1"/>
  <c r="H229" i="1"/>
  <c r="U228" i="1"/>
  <c r="S228" i="1"/>
  <c r="J228" i="1"/>
  <c r="I228" i="1"/>
  <c r="H228" i="1"/>
  <c r="U227" i="1"/>
  <c r="S227" i="1"/>
  <c r="J227" i="1"/>
  <c r="I227" i="1"/>
  <c r="H227" i="1"/>
  <c r="U226" i="1"/>
  <c r="S226" i="1"/>
  <c r="M226" i="1"/>
  <c r="J226" i="1"/>
  <c r="I226" i="1"/>
  <c r="H226" i="1"/>
  <c r="U225" i="1"/>
  <c r="S225" i="1"/>
  <c r="M225" i="1"/>
  <c r="J225" i="1"/>
  <c r="I225" i="1"/>
  <c r="H225" i="1"/>
  <c r="U224" i="1"/>
  <c r="S224" i="1"/>
  <c r="M224" i="1"/>
  <c r="J224" i="1"/>
  <c r="I224" i="1"/>
  <c r="H224" i="1"/>
  <c r="U223" i="1"/>
  <c r="S223" i="1"/>
  <c r="J223" i="1"/>
  <c r="I223" i="1"/>
  <c r="H223" i="1"/>
  <c r="U222" i="1"/>
  <c r="S222" i="1"/>
  <c r="M222" i="1"/>
  <c r="J222" i="1"/>
  <c r="I222" i="1"/>
  <c r="H222" i="1"/>
  <c r="U221" i="1"/>
  <c r="S221" i="1"/>
  <c r="M221" i="1"/>
  <c r="J221" i="1"/>
  <c r="I221" i="1"/>
  <c r="H221" i="1"/>
  <c r="U220" i="1"/>
  <c r="S220" i="1"/>
  <c r="J220" i="1"/>
  <c r="I220" i="1"/>
  <c r="H220" i="1"/>
  <c r="U219" i="1"/>
  <c r="S219" i="1"/>
  <c r="M219" i="1"/>
  <c r="J219" i="1"/>
  <c r="I219" i="1"/>
  <c r="H219" i="1"/>
  <c r="U218" i="1"/>
  <c r="S218" i="1"/>
  <c r="J218" i="1"/>
  <c r="I218" i="1"/>
  <c r="H218" i="1"/>
  <c r="U217" i="1"/>
  <c r="S217" i="1"/>
  <c r="J217" i="1"/>
  <c r="U216" i="1"/>
  <c r="S216" i="1"/>
  <c r="J216" i="1"/>
  <c r="U215" i="1"/>
  <c r="S215" i="1"/>
  <c r="J215" i="1"/>
  <c r="U214" i="1"/>
  <c r="S214" i="1"/>
  <c r="J214" i="1"/>
  <c r="U213" i="1"/>
  <c r="S213" i="1"/>
  <c r="J213" i="1"/>
  <c r="U212" i="1"/>
  <c r="S212" i="1"/>
  <c r="J212" i="1"/>
  <c r="H212" i="1"/>
  <c r="U211" i="1"/>
  <c r="S211" i="1"/>
  <c r="J211" i="1"/>
  <c r="H211" i="1"/>
  <c r="U210" i="1"/>
  <c r="S210" i="1"/>
  <c r="J210" i="1"/>
  <c r="H210" i="1"/>
  <c r="U209" i="1"/>
  <c r="S209" i="1"/>
  <c r="M209" i="1"/>
  <c r="J209" i="1"/>
  <c r="H209" i="1"/>
  <c r="U208" i="1"/>
  <c r="S208" i="1"/>
  <c r="J208" i="1"/>
  <c r="H208" i="1"/>
  <c r="U207" i="1"/>
  <c r="S207" i="1"/>
  <c r="L207" i="1"/>
  <c r="J207" i="1"/>
  <c r="H207" i="1"/>
  <c r="U206" i="1"/>
  <c r="S206" i="1"/>
  <c r="L206" i="1"/>
  <c r="J206" i="1"/>
  <c r="H206" i="1"/>
  <c r="U205" i="1"/>
  <c r="S205" i="1"/>
  <c r="J205" i="1"/>
  <c r="U204" i="1"/>
  <c r="S204" i="1"/>
  <c r="J204" i="1"/>
  <c r="H204" i="1"/>
  <c r="U203" i="1"/>
  <c r="S203" i="1"/>
  <c r="J203" i="1"/>
  <c r="H203" i="1"/>
  <c r="U202" i="1"/>
  <c r="S202" i="1"/>
  <c r="M202" i="1"/>
  <c r="J202" i="1"/>
  <c r="H202" i="1"/>
  <c r="U201" i="1"/>
  <c r="S201" i="1"/>
  <c r="J201" i="1"/>
  <c r="U200" i="1"/>
  <c r="S200" i="1"/>
  <c r="L200" i="1"/>
  <c r="J200" i="1"/>
  <c r="H200" i="1"/>
  <c r="U199" i="1"/>
  <c r="S199" i="1"/>
  <c r="M199" i="1"/>
  <c r="J199" i="1"/>
  <c r="H199" i="1"/>
  <c r="U198" i="1"/>
  <c r="S198" i="1"/>
  <c r="J198" i="1"/>
  <c r="H198" i="1"/>
  <c r="U197" i="1"/>
  <c r="S197" i="1"/>
  <c r="L197" i="1"/>
  <c r="J197" i="1"/>
  <c r="H197" i="1"/>
  <c r="U196" i="1"/>
  <c r="S196" i="1"/>
  <c r="L196" i="1"/>
  <c r="J196" i="1"/>
  <c r="H196" i="1"/>
  <c r="U195" i="1"/>
  <c r="S195" i="1"/>
  <c r="L195" i="1"/>
  <c r="J195" i="1"/>
  <c r="H195" i="1"/>
  <c r="U194" i="1"/>
  <c r="S194" i="1"/>
  <c r="J194" i="1"/>
  <c r="H194" i="1"/>
  <c r="U193" i="1"/>
  <c r="S193" i="1"/>
  <c r="L193" i="1"/>
  <c r="J193" i="1"/>
  <c r="H193" i="1"/>
  <c r="U192" i="1"/>
  <c r="S192" i="1"/>
  <c r="M192" i="1"/>
  <c r="L192" i="1"/>
  <c r="J192" i="1"/>
  <c r="H192" i="1"/>
  <c r="U191" i="1"/>
  <c r="S191" i="1"/>
  <c r="J191" i="1"/>
  <c r="U190" i="1"/>
  <c r="S190" i="1"/>
  <c r="L190" i="1"/>
  <c r="J190" i="1"/>
  <c r="H190" i="1"/>
  <c r="U189" i="1"/>
  <c r="S189" i="1"/>
  <c r="J189" i="1"/>
  <c r="H189" i="1"/>
  <c r="U188" i="1"/>
  <c r="S188" i="1"/>
  <c r="J188" i="1"/>
  <c r="H188" i="1"/>
  <c r="U187" i="1"/>
  <c r="S187" i="1"/>
  <c r="M187" i="1"/>
  <c r="J187" i="1"/>
  <c r="H187" i="1"/>
  <c r="U186" i="1"/>
  <c r="S186" i="1"/>
  <c r="J186" i="1"/>
  <c r="U185" i="1"/>
  <c r="S185" i="1"/>
  <c r="L185" i="1"/>
  <c r="J185" i="1"/>
  <c r="U184" i="1"/>
  <c r="S184" i="1"/>
  <c r="J184" i="1"/>
  <c r="U183" i="1"/>
  <c r="S183" i="1"/>
  <c r="M183" i="1"/>
  <c r="L183" i="1"/>
  <c r="J183" i="1"/>
  <c r="U182" i="1"/>
  <c r="S182" i="1"/>
  <c r="L182" i="1"/>
  <c r="J182" i="1"/>
  <c r="H182" i="1"/>
  <c r="U181" i="1"/>
  <c r="S181" i="1"/>
  <c r="L181" i="1"/>
  <c r="J181" i="1"/>
  <c r="U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U177" i="1"/>
  <c r="S177" i="1"/>
  <c r="L177" i="1"/>
  <c r="J177" i="1"/>
  <c r="U176" i="1"/>
  <c r="S176" i="1"/>
  <c r="L176" i="1"/>
  <c r="J176" i="1"/>
  <c r="U175" i="1"/>
  <c r="S175" i="1"/>
  <c r="M175" i="1"/>
  <c r="L175" i="1"/>
  <c r="J175" i="1"/>
  <c r="H175" i="1"/>
  <c r="U174" i="1"/>
  <c r="S174" i="1"/>
  <c r="J174" i="1"/>
  <c r="U173" i="1"/>
  <c r="S173" i="1"/>
  <c r="J173" i="1"/>
  <c r="U172" i="1"/>
  <c r="S172" i="1"/>
  <c r="M172" i="1"/>
  <c r="J172" i="1"/>
  <c r="H172" i="1"/>
  <c r="U171" i="1"/>
  <c r="S171" i="1"/>
  <c r="L171" i="1"/>
  <c r="J171" i="1"/>
  <c r="H171" i="1"/>
  <c r="U170" i="1"/>
  <c r="S170" i="1"/>
  <c r="J170" i="1"/>
  <c r="H170" i="1"/>
  <c r="U169" i="1"/>
  <c r="S169" i="1"/>
  <c r="J169" i="1"/>
  <c r="H169" i="1"/>
  <c r="U168" i="1"/>
  <c r="S168" i="1"/>
  <c r="L168" i="1"/>
  <c r="J168" i="1"/>
  <c r="I168" i="1"/>
  <c r="H168" i="1"/>
  <c r="U167" i="1"/>
  <c r="S167" i="1"/>
  <c r="M167" i="1"/>
  <c r="J167" i="1"/>
  <c r="H167" i="1"/>
  <c r="U166" i="1"/>
  <c r="S166" i="1"/>
  <c r="M166" i="1"/>
  <c r="L166" i="1"/>
  <c r="J166" i="1"/>
  <c r="H166" i="1"/>
  <c r="U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U162" i="1"/>
  <c r="S162" i="1"/>
  <c r="J162" i="1"/>
  <c r="U161" i="1"/>
  <c r="S161" i="1"/>
  <c r="J161" i="1"/>
  <c r="H161" i="1"/>
  <c r="U160" i="1"/>
  <c r="S160" i="1"/>
  <c r="J160" i="1"/>
  <c r="U159" i="1"/>
  <c r="S159" i="1"/>
  <c r="J159" i="1"/>
  <c r="H159" i="1"/>
  <c r="U158" i="1"/>
  <c r="S158" i="1"/>
  <c r="U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U154" i="1"/>
  <c r="S154" i="1"/>
  <c r="J154" i="1"/>
  <c r="G154" i="1"/>
  <c r="U153" i="1"/>
  <c r="S153" i="1"/>
  <c r="J153" i="1"/>
  <c r="G153" i="1"/>
  <c r="U152" i="1"/>
  <c r="S152" i="1"/>
  <c r="J152" i="1"/>
  <c r="G152" i="1"/>
  <c r="U151" i="1"/>
  <c r="S151" i="1"/>
  <c r="J151" i="1"/>
  <c r="G151" i="1"/>
  <c r="U150" i="1"/>
  <c r="S150" i="1"/>
  <c r="J150" i="1"/>
  <c r="G150" i="1"/>
  <c r="U149" i="1"/>
  <c r="S149" i="1"/>
  <c r="M149" i="1"/>
  <c r="L149" i="1"/>
  <c r="J149" i="1"/>
  <c r="U148" i="1"/>
  <c r="S148" i="1"/>
  <c r="J148" i="1"/>
  <c r="U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U144" i="1"/>
  <c r="S144" i="1"/>
  <c r="J144" i="1"/>
  <c r="G144" i="1"/>
  <c r="U143" i="1"/>
  <c r="S143" i="1"/>
  <c r="J143" i="1"/>
  <c r="G143" i="1"/>
  <c r="U142" i="1"/>
  <c r="S142" i="1"/>
  <c r="J142" i="1"/>
  <c r="G142" i="1"/>
  <c r="U141" i="1"/>
  <c r="S141" i="1"/>
  <c r="L141" i="1"/>
  <c r="J141" i="1"/>
  <c r="G141" i="1"/>
  <c r="U140" i="1"/>
  <c r="S140" i="1"/>
  <c r="L140" i="1"/>
  <c r="J140" i="1"/>
  <c r="G140" i="1"/>
  <c r="U139" i="1"/>
  <c r="S139" i="1"/>
  <c r="M139" i="1"/>
  <c r="J139" i="1"/>
  <c r="G139" i="1"/>
  <c r="U138" i="1"/>
  <c r="S138" i="1"/>
  <c r="J138" i="1"/>
  <c r="G138" i="1"/>
  <c r="U137" i="1"/>
  <c r="S137" i="1"/>
  <c r="L137" i="1"/>
  <c r="J137" i="1"/>
  <c r="G137" i="1"/>
  <c r="U136" i="1"/>
  <c r="S136" i="1"/>
  <c r="M136" i="1"/>
  <c r="J136" i="1"/>
  <c r="G136" i="1"/>
  <c r="U135" i="1"/>
  <c r="S135" i="1"/>
  <c r="J135" i="1"/>
  <c r="G135" i="1"/>
  <c r="U134" i="1"/>
  <c r="S134" i="1"/>
  <c r="L134" i="1"/>
  <c r="J134" i="1"/>
  <c r="G134" i="1"/>
  <c r="U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U130" i="1"/>
  <c r="S130" i="1"/>
  <c r="J130" i="1"/>
  <c r="U129" i="1"/>
  <c r="S129" i="1"/>
  <c r="M129" i="1"/>
  <c r="L129" i="1"/>
  <c r="J129" i="1"/>
  <c r="H129" i="1"/>
  <c r="U128" i="1"/>
  <c r="S128" i="1"/>
  <c r="L128" i="1"/>
  <c r="J128" i="1"/>
  <c r="H128" i="1"/>
  <c r="U127" i="1"/>
  <c r="S127" i="1"/>
  <c r="J127" i="1"/>
  <c r="H127" i="1"/>
  <c r="U126" i="1"/>
  <c r="S126" i="1"/>
  <c r="J126" i="1"/>
  <c r="H126" i="1"/>
  <c r="U125" i="1"/>
  <c r="S125" i="1"/>
  <c r="J125" i="1"/>
  <c r="U124" i="1"/>
  <c r="S124" i="1"/>
  <c r="J124" i="1"/>
  <c r="H124" i="1"/>
  <c r="J123" i="1"/>
  <c r="J122" i="1"/>
  <c r="U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U120" i="1"/>
  <c r="S120" i="1"/>
  <c r="J120" i="1"/>
  <c r="G120" i="1"/>
  <c r="U119" i="1"/>
  <c r="S119" i="1"/>
  <c r="J119" i="1"/>
  <c r="G119" i="1"/>
  <c r="U118" i="1"/>
  <c r="S118" i="1"/>
  <c r="J118" i="1"/>
  <c r="G118" i="1"/>
  <c r="U117" i="1"/>
  <c r="S117" i="1"/>
  <c r="J117" i="1"/>
  <c r="U116" i="1"/>
  <c r="S116" i="1"/>
  <c r="J116" i="1"/>
  <c r="G116" i="1"/>
  <c r="U115" i="1"/>
  <c r="S115" i="1"/>
  <c r="J115" i="1"/>
  <c r="U114" i="1"/>
  <c r="S114" i="1"/>
  <c r="L114" i="1"/>
  <c r="J114" i="1"/>
  <c r="G114" i="1"/>
  <c r="U113" i="1"/>
  <c r="S113" i="1"/>
  <c r="L113" i="1"/>
  <c r="J113" i="1"/>
  <c r="G113" i="1"/>
  <c r="U112" i="1"/>
  <c r="S112" i="1"/>
  <c r="J112" i="1"/>
  <c r="G112" i="1"/>
  <c r="U111" i="1"/>
  <c r="S111" i="1"/>
  <c r="L111" i="1"/>
  <c r="J111" i="1"/>
  <c r="G111" i="1"/>
  <c r="U110" i="1"/>
  <c r="S110" i="1"/>
  <c r="L110" i="1"/>
  <c r="J110" i="1"/>
  <c r="U109" i="1"/>
  <c r="S109" i="1"/>
  <c r="J109" i="1"/>
  <c r="I109" i="1"/>
  <c r="G109" i="1"/>
  <c r="U108" i="1"/>
  <c r="S108" i="1"/>
  <c r="L108" i="1"/>
  <c r="J108" i="1"/>
  <c r="G108" i="1"/>
  <c r="J107" i="1"/>
  <c r="J106" i="1"/>
  <c r="U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U104" i="1"/>
  <c r="S104" i="1"/>
  <c r="J104" i="1"/>
  <c r="U103" i="1"/>
  <c r="S103" i="1"/>
  <c r="J103" i="1"/>
  <c r="G103" i="1"/>
  <c r="U102" i="1"/>
  <c r="S102" i="1"/>
  <c r="J102" i="1"/>
  <c r="U101" i="1"/>
  <c r="S101" i="1"/>
  <c r="J101" i="1"/>
  <c r="G101" i="1"/>
  <c r="U100" i="1"/>
  <c r="S100" i="1"/>
  <c r="M100" i="1"/>
  <c r="L100" i="1"/>
  <c r="J100" i="1"/>
  <c r="G100" i="1"/>
  <c r="U99" i="1"/>
  <c r="S99" i="1"/>
  <c r="J99" i="1"/>
  <c r="G99" i="1"/>
  <c r="U98" i="1"/>
  <c r="S98" i="1"/>
  <c r="J98" i="1"/>
  <c r="U97" i="1"/>
  <c r="S97" i="1"/>
  <c r="J97" i="1"/>
  <c r="G97" i="1"/>
  <c r="U96" i="1"/>
  <c r="S96" i="1"/>
  <c r="J96" i="1"/>
  <c r="U95" i="1"/>
  <c r="S95" i="1"/>
  <c r="M95" i="1"/>
  <c r="L95" i="1"/>
  <c r="J95" i="1"/>
  <c r="U94" i="1"/>
  <c r="S94" i="1"/>
  <c r="M94" i="1"/>
  <c r="J94" i="1"/>
  <c r="G94" i="1"/>
  <c r="J93" i="1"/>
  <c r="J92" i="1"/>
  <c r="U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U90" i="1"/>
  <c r="S90" i="1"/>
  <c r="J90" i="1"/>
  <c r="G90" i="1"/>
  <c r="U89" i="1"/>
  <c r="S89" i="1"/>
  <c r="J89" i="1"/>
  <c r="F89" i="1"/>
  <c r="U88" i="1"/>
  <c r="S88" i="1"/>
  <c r="J88" i="1"/>
  <c r="U87" i="1"/>
  <c r="S87" i="1"/>
  <c r="N87" i="1"/>
  <c r="L87" i="1"/>
  <c r="J87" i="1"/>
  <c r="G87" i="1"/>
  <c r="U86" i="1"/>
  <c r="S86" i="1"/>
  <c r="L86" i="1"/>
  <c r="J86" i="1"/>
  <c r="G86" i="1"/>
  <c r="U85" i="1"/>
  <c r="S85" i="1"/>
  <c r="J85" i="1"/>
  <c r="G85" i="1"/>
  <c r="U84" i="1"/>
  <c r="S84" i="1"/>
  <c r="M84" i="1"/>
  <c r="J84" i="1"/>
  <c r="G84" i="1"/>
  <c r="U83" i="1"/>
  <c r="S83" i="1"/>
  <c r="J83" i="1"/>
  <c r="G83" i="1"/>
  <c r="U82" i="1"/>
  <c r="S82" i="1"/>
  <c r="J82" i="1"/>
  <c r="G82" i="1"/>
  <c r="U81" i="1"/>
  <c r="S81" i="1"/>
  <c r="L81" i="1"/>
  <c r="J81" i="1"/>
  <c r="U80" i="1"/>
  <c r="S80" i="1"/>
  <c r="M80" i="1"/>
  <c r="L80" i="1"/>
  <c r="J80" i="1"/>
  <c r="J79" i="1"/>
  <c r="J78" i="1"/>
  <c r="U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U76" i="1"/>
  <c r="S76" i="1"/>
  <c r="J76" i="1"/>
  <c r="U75" i="1"/>
  <c r="S75" i="1"/>
  <c r="J75" i="1"/>
  <c r="G75" i="1"/>
  <c r="J74" i="1"/>
  <c r="J73" i="1"/>
  <c r="U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U71" i="1"/>
  <c r="S71" i="1"/>
  <c r="J71" i="1"/>
  <c r="G71" i="1"/>
  <c r="U70" i="1"/>
  <c r="S70" i="1"/>
  <c r="J70" i="1"/>
  <c r="G70" i="1"/>
  <c r="U69" i="1"/>
  <c r="S69" i="1"/>
  <c r="J69" i="1"/>
  <c r="G69" i="1"/>
  <c r="U68" i="1"/>
  <c r="S68" i="1"/>
  <c r="J68" i="1"/>
  <c r="G68" i="1"/>
  <c r="U67" i="1"/>
  <c r="S67" i="1"/>
  <c r="J67" i="1"/>
  <c r="U66" i="1"/>
  <c r="S66" i="1"/>
  <c r="J66" i="1"/>
  <c r="G66" i="1"/>
  <c r="U65" i="1"/>
  <c r="S65" i="1"/>
  <c r="J65" i="1"/>
  <c r="G65" i="1"/>
  <c r="U64" i="1"/>
  <c r="S64" i="1"/>
  <c r="J64" i="1"/>
  <c r="G64" i="1"/>
  <c r="U63" i="1"/>
  <c r="S63" i="1"/>
  <c r="L63" i="1"/>
  <c r="J63" i="1"/>
  <c r="G63" i="1"/>
  <c r="U62" i="1"/>
  <c r="S62" i="1"/>
  <c r="J62" i="1"/>
  <c r="G62" i="1"/>
  <c r="U61" i="1"/>
  <c r="S61" i="1"/>
  <c r="L61" i="1"/>
  <c r="J61" i="1"/>
  <c r="G61" i="1"/>
  <c r="U60" i="1"/>
  <c r="S60" i="1"/>
  <c r="M60" i="1"/>
  <c r="L60" i="1"/>
  <c r="J60" i="1"/>
  <c r="G60" i="1"/>
  <c r="J59" i="1"/>
  <c r="J58" i="1"/>
  <c r="U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U56" i="1"/>
  <c r="S56" i="1"/>
  <c r="J56" i="1"/>
  <c r="U55" i="1"/>
  <c r="S55" i="1"/>
  <c r="J55" i="1"/>
  <c r="U54" i="1"/>
  <c r="S54" i="1"/>
  <c r="L54" i="1"/>
  <c r="J54" i="1"/>
  <c r="U53" i="1"/>
  <c r="S53" i="1"/>
  <c r="L53" i="1"/>
  <c r="J53" i="1"/>
  <c r="H53" i="1"/>
  <c r="U52" i="1"/>
  <c r="S52" i="1"/>
  <c r="L52" i="1"/>
  <c r="J52" i="1"/>
  <c r="H52" i="1"/>
  <c r="U51" i="1"/>
  <c r="S51" i="1"/>
  <c r="J51" i="1"/>
  <c r="H51" i="1"/>
  <c r="U50" i="1"/>
  <c r="S50" i="1"/>
  <c r="M50" i="1"/>
  <c r="L50" i="1"/>
  <c r="K50" i="1"/>
  <c r="J50" i="1"/>
  <c r="H50" i="1"/>
  <c r="J49" i="1"/>
  <c r="J48" i="1"/>
  <c r="U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U46" i="1"/>
  <c r="S46" i="1"/>
  <c r="J46" i="1"/>
  <c r="H46" i="1"/>
  <c r="U45" i="1"/>
  <c r="S45" i="1"/>
  <c r="J45" i="1"/>
  <c r="H45" i="1"/>
  <c r="U44" i="1"/>
  <c r="S44" i="1"/>
  <c r="J44" i="1"/>
  <c r="H44" i="1"/>
  <c r="U43" i="1"/>
  <c r="S43" i="1"/>
  <c r="J43" i="1"/>
  <c r="H43" i="1"/>
  <c r="U42" i="1"/>
  <c r="S42" i="1"/>
  <c r="J42" i="1"/>
  <c r="H42" i="1"/>
  <c r="U41" i="1"/>
  <c r="S41" i="1"/>
  <c r="J41" i="1"/>
  <c r="H41" i="1"/>
  <c r="U40" i="1"/>
  <c r="S40" i="1"/>
  <c r="J40" i="1"/>
  <c r="U39" i="1"/>
  <c r="S39" i="1"/>
  <c r="J39" i="1"/>
  <c r="U38" i="1"/>
  <c r="S38" i="1"/>
  <c r="J38" i="1"/>
  <c r="H38" i="1"/>
  <c r="U37" i="1"/>
  <c r="S37" i="1"/>
  <c r="J37" i="1"/>
  <c r="H37" i="1"/>
  <c r="U36" i="1"/>
  <c r="S36" i="1"/>
  <c r="J36" i="1"/>
  <c r="H36" i="1"/>
  <c r="U35" i="1"/>
  <c r="S35" i="1"/>
  <c r="J35" i="1"/>
  <c r="H35" i="1"/>
  <c r="U34" i="1"/>
  <c r="S34" i="1"/>
  <c r="L34" i="1"/>
  <c r="J34" i="1"/>
  <c r="U33" i="1"/>
  <c r="S33" i="1"/>
  <c r="J33" i="1"/>
  <c r="H33" i="1"/>
  <c r="U32" i="1"/>
  <c r="S32" i="1"/>
  <c r="M32" i="1"/>
  <c r="L32" i="1"/>
  <c r="J32" i="1"/>
  <c r="U31" i="1"/>
  <c r="S31" i="1"/>
  <c r="J31" i="1"/>
  <c r="U30" i="1"/>
  <c r="S30" i="1"/>
  <c r="L30" i="1"/>
  <c r="J30" i="1"/>
  <c r="H30" i="1"/>
  <c r="U29" i="1"/>
  <c r="S29" i="1"/>
  <c r="M29" i="1"/>
  <c r="L29" i="1"/>
  <c r="J29" i="1"/>
  <c r="H29" i="1"/>
  <c r="U28" i="1"/>
  <c r="S28" i="1"/>
  <c r="L28" i="1"/>
  <c r="J28" i="1"/>
  <c r="G28" i="1"/>
  <c r="U27" i="1"/>
  <c r="S27" i="1"/>
  <c r="J27" i="1"/>
  <c r="H27" i="1"/>
  <c r="U26" i="1"/>
  <c r="S26" i="1"/>
  <c r="J26" i="1"/>
  <c r="U25" i="1"/>
  <c r="S25" i="1"/>
  <c r="J25" i="1"/>
  <c r="I25" i="1"/>
  <c r="H25" i="1"/>
  <c r="U24" i="1"/>
  <c r="S24" i="1"/>
  <c r="J24" i="1"/>
  <c r="U23" i="1"/>
  <c r="S23" i="1"/>
  <c r="L23" i="1"/>
  <c r="J23" i="1"/>
  <c r="I23" i="1"/>
  <c r="G23" i="1"/>
  <c r="U22" i="1"/>
  <c r="S22" i="1"/>
  <c r="L22" i="1"/>
  <c r="J22" i="1"/>
  <c r="I22" i="1"/>
  <c r="H22" i="1"/>
  <c r="U21" i="1"/>
  <c r="S21" i="1"/>
  <c r="M21" i="1"/>
  <c r="J21" i="1"/>
  <c r="I21" i="1"/>
  <c r="H21" i="1"/>
  <c r="U20" i="1"/>
  <c r="S20" i="1"/>
  <c r="J20" i="1"/>
  <c r="U19" i="1"/>
  <c r="S19" i="1"/>
  <c r="J19" i="1"/>
  <c r="U18" i="1"/>
  <c r="S18" i="1"/>
  <c r="M18" i="1"/>
  <c r="L18" i="1"/>
  <c r="J18" i="1"/>
  <c r="I18" i="1"/>
  <c r="G18" i="1"/>
  <c r="U17" i="1"/>
  <c r="S17" i="1"/>
  <c r="J17" i="1"/>
  <c r="G17" i="1"/>
  <c r="U16" i="1"/>
  <c r="S16" i="1"/>
  <c r="J16" i="1"/>
  <c r="U15" i="1"/>
  <c r="S15" i="1"/>
  <c r="J15" i="1"/>
  <c r="I15" i="1"/>
  <c r="G15" i="1"/>
  <c r="U14" i="1"/>
  <c r="S14" i="1"/>
  <c r="L14" i="1"/>
  <c r="J14" i="1"/>
  <c r="I14" i="1"/>
  <c r="U13" i="1"/>
  <c r="S13" i="1"/>
  <c r="J13" i="1"/>
  <c r="I13" i="1"/>
  <c r="H13" i="1"/>
  <c r="U12" i="1"/>
  <c r="S12" i="1"/>
  <c r="J12" i="1"/>
  <c r="I12" i="1"/>
  <c r="U11" i="1"/>
  <c r="S11" i="1"/>
  <c r="M11" i="1"/>
  <c r="L11" i="1"/>
  <c r="J11" i="1"/>
  <c r="H11" i="1"/>
  <c r="U10" i="1"/>
  <c r="S10" i="1"/>
  <c r="L10" i="1"/>
  <c r="J10" i="1"/>
  <c r="U9" i="1"/>
  <c r="S9" i="1"/>
  <c r="J9" i="1"/>
  <c r="I9" i="1"/>
  <c r="H9" i="1"/>
  <c r="U8" i="1"/>
  <c r="S8" i="1"/>
  <c r="L8" i="1"/>
  <c r="J8" i="1"/>
  <c r="I8" i="1"/>
  <c r="H8" i="1"/>
  <c r="U7" i="1"/>
  <c r="S7" i="1"/>
  <c r="J7" i="1"/>
  <c r="G7" i="1"/>
  <c r="E3" i="1"/>
  <c r="K12" i="239" l="1"/>
  <c r="H12" i="207"/>
  <c r="N12" i="207"/>
  <c r="Q12" i="239"/>
  <c r="Q39" i="239" s="1"/>
  <c r="Q200" i="239" s="1"/>
  <c r="Q202" i="239" s="1"/>
  <c r="Q12" i="207" l="1"/>
  <c r="Q39" i="207" s="1"/>
  <c r="Q200" i="207" s="1"/>
  <c r="Q202" i="207" s="1"/>
  <c r="O12" i="207"/>
  <c r="O39" i="207" s="1"/>
  <c r="O200" i="207" s="1"/>
  <c r="O202" i="207" s="1"/>
  <c r="N39" i="207"/>
  <c r="N200" i="207" s="1"/>
  <c r="N202" i="207" s="1"/>
  <c r="L12" i="239"/>
  <c r="L39" i="239" s="1"/>
  <c r="L200" i="239" s="1"/>
  <c r="L202" i="239" s="1"/>
  <c r="P12" i="239"/>
  <c r="P39" i="239" s="1"/>
  <c r="P200" i="239" s="1"/>
  <c r="P202" i="239" s="1"/>
  <c r="K39" i="239"/>
  <c r="K200" i="239" s="1"/>
  <c r="K202" i="239" s="1"/>
  <c r="H39" i="207"/>
  <c r="H200" i="207" s="1"/>
  <c r="H202" i="207" s="1"/>
  <c r="K12" i="207"/>
  <c r="I12" i="207"/>
  <c r="I39" i="207" s="1"/>
  <c r="I200" i="207" s="1"/>
  <c r="I202" i="207" s="1"/>
  <c r="L12" i="207" l="1"/>
  <c r="L39" i="207" s="1"/>
  <c r="L200" i="207" s="1"/>
  <c r="L202" i="207" s="1"/>
  <c r="P12" i="207"/>
  <c r="P39" i="207" s="1"/>
  <c r="P200" i="207" s="1"/>
  <c r="P202" i="207" s="1"/>
  <c r="K39" i="207"/>
  <c r="K200" i="207" s="1"/>
  <c r="K202" i="207" s="1"/>
  <c r="E249" i="243"/>
  <c r="E248" i="243"/>
  <c r="Q11" i="131"/>
  <c r="Q13" i="131"/>
  <c r="Q27" i="131"/>
  <c r="Q18" i="131"/>
  <c r="Q7" i="131"/>
  <c r="Q12" i="131"/>
</calcChain>
</file>

<file path=xl/sharedStrings.xml><?xml version="1.0" encoding="utf-8"?>
<sst xmlns="http://schemas.openxmlformats.org/spreadsheetml/2006/main" count="26048" uniqueCount="1816">
  <si>
    <t>NATIONAL INSTITUTE FOR LEGISLATIVE AND DEMOCRATIC STUDIES</t>
  </si>
  <si>
    <t>STAFF PAYROLL FOR THE MONTH OF FEBRUARY 2026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</si>
  <si>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</si>
  <si>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</si>
  <si>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</si>
  <si>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</si>
  <si>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</si>
  <si>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</si>
  <si>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</si>
  <si>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</si>
  <si>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</si>
  <si>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</si>
  <si>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</si>
  <si>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</si>
  <si>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COOP 2  LOAN RECOVERY</t>
  </si>
  <si>
    <t>NHF DED.</t>
  </si>
  <si>
    <t>PAYE</t>
  </si>
  <si>
    <t>EMPLOYEE PENSIONS</t>
  </si>
  <si>
    <t>TOTAL DEDUCTION</t>
  </si>
  <si>
    <t>JANUARY, 2026</t>
  </si>
  <si>
    <t>FEBRUARY, 2026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</si>
  <si>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</si>
  <si>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</si>
  <si>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</si>
  <si>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</si>
  <si>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</si>
  <si>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</si>
  <si>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</si>
  <si>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</si>
  <si>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</si>
  <si>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</si>
  <si>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</si>
  <si>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</si>
  <si>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</si>
  <si>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</si>
  <si>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</si>
  <si>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16(9)</t>
  </si>
  <si>
    <t>DR FRANCIS NDUM OJIE</t>
  </si>
  <si>
    <t>AD, TRAINING &amp; IC./SA TO DG</t>
  </si>
  <si>
    <t>15(9)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</si>
  <si>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</si>
  <si>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</si>
  <si>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</si>
  <si>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</si>
  <si>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</si>
  <si>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</si>
  <si>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</si>
  <si>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14(10)</t>
  </si>
  <si>
    <t>ABDULSALAM S. MUSTAPHA</t>
  </si>
  <si>
    <t>ASST. DIRECTOR ICT</t>
  </si>
  <si>
    <t>15(8)</t>
  </si>
  <si>
    <t>PERCY TERFA GBAHABO</t>
  </si>
  <si>
    <t>RESEARCH FELLOW 1</t>
  </si>
  <si>
    <t>14(8)</t>
  </si>
  <si>
    <t>HASSANA AHMED IBRAHIM</t>
  </si>
  <si>
    <t>PA- TO DG</t>
  </si>
  <si>
    <t>13(11)</t>
  </si>
  <si>
    <t>IKIP LEBO</t>
  </si>
  <si>
    <t>ASST CHIEF PROC. OFFICER</t>
  </si>
  <si>
    <t>13 (9)</t>
  </si>
  <si>
    <t>ALABI ADESINA MUHYDEEN</t>
  </si>
  <si>
    <t>HEAD, NILDS LIAISON OFFICE</t>
  </si>
  <si>
    <t>BASSEY NSONGURUA UDOFIA</t>
  </si>
  <si>
    <t>PRINC.CONF SEC 1/PPS</t>
  </si>
  <si>
    <t>13(8)</t>
  </si>
  <si>
    <t>ADUGBA RICHARD TERSEER</t>
  </si>
  <si>
    <t>ASSIST. CHIEF INFO OFFICER</t>
  </si>
  <si>
    <t>13(7)</t>
  </si>
  <si>
    <t>LUCKY AGWOM</t>
  </si>
  <si>
    <t>RESEARCH ASSISTANT</t>
  </si>
  <si>
    <t>12(9)</t>
  </si>
  <si>
    <t>IDRIS IBRAHIM</t>
  </si>
  <si>
    <t>PRINCIPAL RESEARCH OFFICER</t>
  </si>
  <si>
    <t>FARUQ ATOFARATI</t>
  </si>
  <si>
    <t>PA (SPECIAL DUTIES) TO DG</t>
  </si>
  <si>
    <t>10(8)</t>
  </si>
  <si>
    <t>RASHEEDAT DAIBU</t>
  </si>
  <si>
    <t>SENIOR INFO. OFFICER</t>
  </si>
  <si>
    <t>10(9)</t>
  </si>
  <si>
    <t>VICTOR ASUKWO</t>
  </si>
  <si>
    <t>SENIOR ICT OFFICER</t>
  </si>
  <si>
    <t>10(7)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</si>
  <si>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</si>
  <si>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</si>
  <si>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</si>
  <si>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</si>
  <si>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</si>
  <si>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</si>
  <si>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</si>
  <si>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ABUBAKAR SULAIMAN SODEEQ</t>
  </si>
  <si>
    <t>SENIOR M&amp;E OFFICER</t>
  </si>
  <si>
    <t>JIMOH ADEBAYO ZAKA</t>
  </si>
  <si>
    <t>SENIOR INFO OFFICER</t>
  </si>
  <si>
    <t>ABDULMUSHIN TAWFIQ LADAN</t>
  </si>
  <si>
    <t>ICT OFFICER</t>
  </si>
  <si>
    <t>MOHAMMED BELLO</t>
  </si>
  <si>
    <t>SENIOR PROTOCOL OFFICER</t>
  </si>
  <si>
    <t>HOLINESS PAUL UDO</t>
  </si>
  <si>
    <t>ADMINISTRATION OFFICER, M&amp;E</t>
  </si>
  <si>
    <t>9(8)</t>
  </si>
  <si>
    <t>CHARITY UDO AKAN</t>
  </si>
  <si>
    <t>SANI UMAR IBRAHIM</t>
  </si>
  <si>
    <t>FAHAD ABUBUKAR LONGMAN</t>
  </si>
  <si>
    <t>HARUNA JIBRIL AMEH</t>
  </si>
  <si>
    <t>ASST. ADMIN. OFFICER</t>
  </si>
  <si>
    <t>8(10)</t>
  </si>
  <si>
    <t>RAMATU IBRAHIM ABDULRAHEEM</t>
  </si>
  <si>
    <t>INFORMATION OFFICER</t>
  </si>
  <si>
    <t>8(9)</t>
  </si>
  <si>
    <t>EDIDIONG EZEKIEL ATAT</t>
  </si>
  <si>
    <t>ASSIST PROCUREMENT OFFICER</t>
  </si>
  <si>
    <t>8(8)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</si>
  <si>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</si>
  <si>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</si>
  <si>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</si>
  <si>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</si>
  <si>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</si>
  <si>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</si>
  <si>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</si>
  <si>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</si>
  <si>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</si>
  <si>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</si>
  <si>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</si>
  <si>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</si>
  <si>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</si>
  <si>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</si>
  <si>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</si>
  <si>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</si>
  <si>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</si>
  <si>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</si>
  <si>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</si>
  <si>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12(8)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</si>
  <si>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</si>
  <si>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</si>
  <si>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</si>
  <si>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</si>
  <si>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</si>
  <si>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</si>
  <si>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</si>
  <si>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</si>
  <si>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17(8)</t>
  </si>
  <si>
    <t>OGUCHE SAMUEL</t>
  </si>
  <si>
    <t xml:space="preserve">SNR RESEARCH FELLOW </t>
  </si>
  <si>
    <t>IBRAHIM USMAN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</si>
  <si>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</si>
  <si>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</si>
  <si>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</si>
  <si>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</si>
  <si>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</si>
  <si>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</si>
  <si>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</si>
  <si>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10(10)</t>
  </si>
  <si>
    <t>UMOH USENOBONG EMMANUEL</t>
  </si>
  <si>
    <t>ZAINAB AKINDE</t>
  </si>
  <si>
    <t>9(10)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</si>
  <si>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</si>
  <si>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</si>
  <si>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</si>
  <si>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</si>
  <si>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</si>
  <si>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</si>
  <si>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</si>
  <si>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</si>
  <si>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</si>
  <si>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</si>
  <si>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</si>
  <si>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</si>
  <si>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MARTINS SOLOMON UDOM</t>
  </si>
  <si>
    <t>RESEARCH FELLOW 2</t>
  </si>
  <si>
    <t>ISHAKA DELE</t>
  </si>
  <si>
    <t>UDEFUNA NNADOZIE PATRICK</t>
  </si>
  <si>
    <t>SHAFIU YAHYA MIKAIL</t>
  </si>
  <si>
    <t>12(10)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</si>
  <si>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</si>
  <si>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</si>
  <si>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</si>
  <si>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</si>
  <si>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</si>
  <si>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</si>
  <si>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12(7)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</si>
  <si>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</si>
  <si>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</si>
  <si>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</si>
  <si>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</si>
  <si>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</si>
  <si>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</si>
  <si>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</si>
  <si>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</si>
  <si>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</si>
  <si>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</si>
  <si>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</si>
  <si>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14(11)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</si>
  <si>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</si>
  <si>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</si>
  <si>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</si>
  <si>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</si>
  <si>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</si>
  <si>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</si>
  <si>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</si>
  <si>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</si>
  <si>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</si>
  <si>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</si>
  <si>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</si>
  <si>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</si>
  <si>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</si>
  <si>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</si>
  <si>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</si>
  <si>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</si>
  <si>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</si>
  <si>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16(8)</t>
  </si>
  <si>
    <t>OMOJU OLUWASOLA EMMANUEL</t>
  </si>
  <si>
    <t>IBE EZECHI CYRIACUS</t>
  </si>
  <si>
    <t>OSIKHEN LEO IGBANOI</t>
  </si>
  <si>
    <t>OKUNGBOWA OSARETIN GODSPOWER</t>
  </si>
  <si>
    <t>14(9)</t>
  </si>
  <si>
    <t>YUSUF IBRAHIM</t>
  </si>
  <si>
    <t>MUSTAPHA RAFIU AYOBANJI</t>
  </si>
  <si>
    <t>RESEARCH FELLOW 11</t>
  </si>
  <si>
    <t>13(9)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</si>
  <si>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</si>
  <si>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</si>
  <si>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</si>
  <si>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</si>
  <si>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</si>
  <si>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</si>
  <si>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9(7)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</si>
  <si>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</si>
  <si>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</si>
  <si>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</si>
  <si>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</si>
  <si>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</si>
  <si>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</si>
  <si>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</si>
  <si>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</si>
  <si>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</si>
  <si>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</si>
  <si>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</si>
  <si>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</si>
  <si>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</si>
  <si>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</si>
  <si>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</si>
  <si>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</si>
  <si>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</si>
  <si>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</si>
  <si>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</si>
  <si>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</si>
  <si>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</si>
  <si>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</si>
  <si>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</si>
  <si>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</si>
  <si>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</si>
  <si>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8(14)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</si>
  <si>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</si>
  <si>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</si>
  <si>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</si>
  <si>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</si>
  <si>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</si>
  <si>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</si>
  <si>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</si>
  <si>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</si>
  <si>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</si>
  <si>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12(11)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</si>
  <si>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</si>
  <si>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</si>
  <si>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</si>
  <si>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</si>
  <si>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</si>
  <si>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</si>
  <si>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</si>
  <si>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SULYMAN JIMOH GOBIR</t>
  </si>
  <si>
    <t>PRODUCER/PRESENTER/REPORTER</t>
  </si>
  <si>
    <t>OLUFEMI E. OYEGOKE</t>
  </si>
  <si>
    <t>MARKETER</t>
  </si>
  <si>
    <t>ZAINAB BAKARI</t>
  </si>
  <si>
    <t>NEWS CASTER</t>
  </si>
  <si>
    <t>MUSTAPHA ADEKOLA MUSA</t>
  </si>
  <si>
    <t>ENGINEER</t>
  </si>
  <si>
    <t>8(7)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</si>
  <si>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</si>
  <si>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</si>
  <si>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</si>
  <si>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</si>
  <si>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</si>
  <si>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</si>
  <si>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</si>
  <si>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</si>
  <si>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</si>
  <si>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</si>
  <si>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</si>
  <si>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</si>
  <si>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</si>
  <si>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</si>
  <si>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</si>
  <si>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</si>
  <si>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</si>
  <si>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</si>
  <si>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</si>
  <si>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</si>
  <si>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</si>
  <si>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</si>
  <si>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</si>
  <si>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</si>
  <si>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</si>
  <si>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</si>
  <si>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17 (8)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</si>
  <si>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</si>
  <si>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</si>
  <si>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</si>
  <si>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</si>
  <si>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</si>
  <si>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</si>
  <si>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</si>
  <si>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</si>
  <si>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</si>
  <si>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</si>
  <si>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</si>
  <si>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</si>
  <si>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</si>
  <si>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</si>
  <si>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</si>
  <si>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</si>
  <si>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</si>
  <si>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</si>
  <si>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</si>
  <si>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</si>
  <si>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</si>
  <si>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</si>
  <si>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</si>
  <si>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</si>
  <si>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</si>
  <si>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</si>
  <si>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</si>
  <si>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</si>
  <si>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</si>
  <si>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</si>
  <si>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</si>
  <si>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</si>
  <si>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</si>
  <si>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</si>
  <si>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</si>
  <si>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</si>
  <si>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</si>
  <si>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</si>
  <si>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</si>
  <si>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</si>
  <si>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</si>
  <si>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</si>
  <si>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</si>
  <si>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</si>
  <si>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</si>
  <si>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</si>
  <si>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</si>
  <si>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</si>
  <si>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</si>
  <si>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</si>
  <si>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</si>
  <si>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</si>
  <si>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</si>
  <si>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</si>
  <si>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</si>
  <si>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</si>
  <si>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</si>
  <si>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MOTOR DRIVER MECH.</t>
  </si>
  <si>
    <t>7(10)</t>
  </si>
  <si>
    <t>TASIU MOHAMMED</t>
  </si>
  <si>
    <t>ALIYU YAKUBU</t>
  </si>
  <si>
    <t>ABDULLAHI HARUNA</t>
  </si>
  <si>
    <t>OGABO OGAH USMAN</t>
  </si>
  <si>
    <t>7(9)</t>
  </si>
  <si>
    <t>ETSU UMARU</t>
  </si>
  <si>
    <t>EDACHE  OGA</t>
  </si>
  <si>
    <t>YUGUDA S. IDRIS</t>
  </si>
  <si>
    <t>GARBA ADAMU</t>
  </si>
  <si>
    <t>YUNUSA ABDULMUMINI ELEOJO</t>
  </si>
  <si>
    <t>7(7)</t>
  </si>
  <si>
    <t>JOHN GIMAH</t>
  </si>
  <si>
    <t>ABUBAKAR MUSA DANLAMI</t>
  </si>
  <si>
    <t>7(8)</t>
  </si>
  <si>
    <t>OYINLOLA ISMAHEEL TAIWO</t>
  </si>
  <si>
    <t>7(5)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</si>
  <si>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</si>
  <si>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</si>
  <si>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</si>
  <si>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</si>
  <si>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</si>
  <si>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</si>
  <si>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7(6)</t>
  </si>
  <si>
    <t>SUNDAY ADEYI</t>
  </si>
  <si>
    <t>ZHOKWO PETER</t>
  </si>
  <si>
    <t>SENIOR DRIVER</t>
  </si>
  <si>
    <t>5(12)</t>
  </si>
  <si>
    <t>JOSEPH GWATANA</t>
  </si>
  <si>
    <t>SENIOR MOTOR DRIVER MECH.</t>
  </si>
  <si>
    <t>5(9)</t>
  </si>
  <si>
    <t>LAWAL TANIMU</t>
  </si>
  <si>
    <t>5(8)</t>
  </si>
  <si>
    <t>MUKTAR IDRIS</t>
  </si>
  <si>
    <t>5(7)</t>
  </si>
  <si>
    <t>SAHEED AYINLA AJIA</t>
  </si>
  <si>
    <t>MOTOR DRIVER MECHANIC</t>
  </si>
  <si>
    <t>4(10)</t>
  </si>
  <si>
    <t>ABUBAKAR YAHAYA</t>
  </si>
  <si>
    <t>SULEIMAN USMAN</t>
  </si>
  <si>
    <t>ABDULLAHI HUSSAINI</t>
  </si>
  <si>
    <t>SENIOR MOTOR DRIVER</t>
  </si>
  <si>
    <t>5(10)</t>
  </si>
  <si>
    <t>SALIHU ABASS</t>
  </si>
  <si>
    <t>66</t>
  </si>
  <si>
    <t>GRAND TOTAL</t>
  </si>
  <si>
    <t>PREPARED BY:  Rahila N. Habu                                        SIGNATURE………………..                                  DATE:  26th Feb., 2026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</si>
  <si>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</si>
  <si>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</si>
  <si>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</si>
  <si>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</si>
  <si>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</si>
  <si>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</si>
  <si>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</si>
  <si>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</si>
  <si>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</si>
  <si>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</si>
  <si>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</si>
  <si>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</si>
  <si>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</si>
  <si>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</si>
  <si>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FEBRUARY 2026</t>
  </si>
  <si>
    <t>SUBJECT: PAYROLL FOR THE MONTH OF FEBRUARY 2026</t>
  </si>
  <si>
    <t>Find below the details of NILDS Staff Payroll for the Month of  February 2026:</t>
  </si>
  <si>
    <t>NGN</t>
  </si>
  <si>
    <t>GROSS SALARY FOR FEBRUARY 2026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</si>
  <si>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</si>
  <si>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</si>
  <si>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</si>
  <si>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</si>
  <si>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</si>
  <si>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</si>
  <si>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FEBRUARY 2026</t>
  </si>
  <si>
    <t>NET PAY AS PER  FEBRUARY 2026 PAYROLL</t>
  </si>
  <si>
    <t>NET PAY AS PER JANUARY 2026 PAYROLL</t>
  </si>
  <si>
    <t>NET INCREASE/ (DECREASE)  IN PAY FOR FEBRUARY 2026</t>
  </si>
  <si>
    <t>ANALYSED AS FOLLOWS:</t>
  </si>
  <si>
    <t>Effect of Cooperative 1 Adjustments for February 2026</t>
  </si>
  <si>
    <t>Effect of Cooperative 2 Adjustments for February 2026</t>
  </si>
  <si>
    <t>Effect of Annual Tax Relief IFO Idris Ibrahim &amp; 5 others</t>
  </si>
  <si>
    <t>Effect of Cessation of payment to Jimoh Gobir Sulyman due to Suspension</t>
  </si>
  <si>
    <t>Effect of promotions of Kolapo Quadri Abayomi &amp; 3 others</t>
  </si>
  <si>
    <t>Effect of promotion arrears IFO Kolapo Abayomi &amp; 3 others</t>
  </si>
  <si>
    <t>Effect of regularization of hardship allowance of Yusuf Abdullahi &amp; 6 others</t>
  </si>
  <si>
    <t>Effect of steps regularisation of Jeremiah Agada &amp; 1 other</t>
  </si>
  <si>
    <t>Effect of removal of Promotion arrears to Victor Asukwo</t>
  </si>
  <si>
    <t>JANUARY, 2025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</si>
  <si>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</si>
  <si>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</si>
  <si>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</si>
  <si>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</si>
  <si>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</si>
  <si>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</si>
  <si>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</si>
  <si>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</si>
  <si>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</si>
  <si>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</si>
  <si>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</si>
  <si>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</si>
  <si>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</si>
  <si>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</si>
  <si>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74,331223.26, </t>
    </r>
    <r>
      <rPr>
        <sz val="14"/>
        <rFont val="Times New Roman"/>
        <charset val="134"/>
      </rPr>
      <t xml:space="preserve">to Guaranty Trust Bank,  being the  February 2026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18,121,600.38, </t>
    </r>
    <r>
      <rPr>
        <sz val="14"/>
        <rFont val="Times New Roman"/>
        <charset val="134"/>
      </rPr>
      <t>and</t>
    </r>
    <r>
      <rPr>
        <b/>
        <sz val="14"/>
        <rFont val="Times New Roman"/>
        <charset val="134"/>
      </rPr>
      <t xml:space="preserve"> N4,164,337.30 </t>
    </r>
    <r>
      <rPr>
        <sz val="14"/>
        <rFont val="Times New Roman"/>
        <charset val="134"/>
      </rPr>
      <t>being NILDS Coop Society 1 and Coop Society 2 deductions for February 2026.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17,200,698.87 </t>
    </r>
    <r>
      <rPr>
        <sz val="14"/>
        <rFont val="Times New Roman"/>
        <charset val="134"/>
      </rPr>
      <t xml:space="preserve">PAYE Tax Deductions from Staff Salary for the month  of  February 2026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677,813.77 </t>
    </r>
    <r>
      <rPr>
        <sz val="14"/>
        <rFont val="Times New Roman"/>
        <charset val="134"/>
      </rPr>
      <t xml:space="preserve"> being NHF deductions from staff for February 2026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</si>
  <si>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</si>
  <si>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</si>
  <si>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ASSEMBLY ABUJA</t>
  </si>
  <si>
    <t>TAX COMPUTATION FOR 2022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</si>
  <si>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</si>
  <si>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</si>
  <si>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</si>
  <si>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</si>
  <si>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</si>
  <si>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</si>
  <si>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</si>
  <si>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</si>
  <si>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</si>
  <si>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</si>
  <si>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</si>
  <si>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</t>
  </si>
  <si>
    <t>OLD ACTUAL TAX PAYABLE</t>
  </si>
  <si>
    <t>INCREASE/DECREASE IN PAYE</t>
  </si>
  <si>
    <t>ELIZABETH OGECHUKWU ONYEAKU</t>
  </si>
  <si>
    <t>MUHAMMED AGYE OSOLAFIA</t>
  </si>
  <si>
    <t>AISHA AMINU SAMBO</t>
  </si>
  <si>
    <t>PAY AS YOU EARN COMPUTATION</t>
  </si>
  <si>
    <t>NAME ORGANISATION:</t>
  </si>
  <si>
    <t>ASSESSMENT YEAR:</t>
  </si>
  <si>
    <t>ELIGIBLE DEDUCTIONS</t>
  </si>
  <si>
    <t>EMPLOYEE NAME</t>
  </si>
  <si>
    <t>TAX IDENTIFICATION</t>
  </si>
  <si>
    <t>ANNUAL GROSS EMOLUMENTS</t>
  </si>
  <si>
    <t>ANNUAL RENT</t>
  </si>
  <si>
    <t>RENT</t>
  </si>
  <si>
    <t>NHF</t>
  </si>
  <si>
    <t>PENSION CONTRIBUTION</t>
  </si>
  <si>
    <t>TOTAL ELIGIBLE DEDUCTIONS</t>
  </si>
  <si>
    <t>1ST 800,000 @ 0%</t>
  </si>
  <si>
    <t>NEXT 2,200,000 @ 15%</t>
  </si>
  <si>
    <t>NEXT 9,000,000  @ 18%</t>
  </si>
  <si>
    <t>NEXT 13,000,000 @ 21%</t>
  </si>
  <si>
    <t>NEXT 25000000 @ 23%</t>
  </si>
  <si>
    <t>EXCESS OF 50000000 @ 25%</t>
  </si>
  <si>
    <t>ANNUAL TAX DUE</t>
  </si>
  <si>
    <t>MONTHLY TAX DUE</t>
  </si>
  <si>
    <t>FCT TAXPAYER ID</t>
  </si>
  <si>
    <t>RELIEF</t>
  </si>
  <si>
    <t>2.5% of Annual
Income</t>
  </si>
  <si>
    <t>1.75% of Annual 
Emoluments</t>
  </si>
  <si>
    <t>8% of the Gross Salary</t>
  </si>
  <si>
    <t>Enter Total Annual Earnings Here</t>
  </si>
  <si>
    <t>Lower of  the 20% actual
rent paid or N500,000</t>
  </si>
  <si>
    <t>Leave as computed if dedeuctions tally, otherwise, enter correct deductions. Note: You may be required to show evidence of deductions and remittance</t>
  </si>
  <si>
    <t>STAFF ANNUAL RENT RELIEF</t>
  </si>
  <si>
    <t>GL</t>
  </si>
  <si>
    <t>20% OF ANNUAL RENT</t>
  </si>
  <si>
    <t>8(11)</t>
  </si>
  <si>
    <t>NATIONAL INSTITUTE FOR LEGISLATIVE &amp; DEMOCRATIC STUDIES</t>
  </si>
  <si>
    <t xml:space="preserve">ANALYSIS OF STAFF PROMOTION ARREARS </t>
  </si>
  <si>
    <t>SN</t>
  </si>
  <si>
    <t>Name of Employee</t>
  </si>
  <si>
    <t>Department</t>
  </si>
  <si>
    <t>Present Grade Level</t>
  </si>
  <si>
    <t>New Grade Level</t>
  </si>
  <si>
    <t>Gross Salary of Present Position</t>
  </si>
  <si>
    <t>Gross Salary of New Position</t>
  </si>
  <si>
    <t>Diference/Arrears</t>
  </si>
  <si>
    <t>Effective Date</t>
  </si>
  <si>
    <t>No of Months</t>
  </si>
  <si>
    <t>Total Amount of Arrears (Gross)</t>
  </si>
  <si>
    <t>Patrick Adefuna</t>
  </si>
  <si>
    <t>DD&amp;G</t>
  </si>
  <si>
    <t>'12/10</t>
  </si>
  <si>
    <t xml:space="preserve"> 13/7</t>
  </si>
  <si>
    <t>20th Dec 2025</t>
  </si>
  <si>
    <t>Kolapo Quadri Abayomi</t>
  </si>
  <si>
    <t>CAEEP</t>
  </si>
  <si>
    <t>'10/10</t>
  </si>
  <si>
    <t xml:space="preserve"> 12/7</t>
  </si>
  <si>
    <t>24th June 2024</t>
  </si>
  <si>
    <t>Charity Ezenwajiobi</t>
  </si>
  <si>
    <t>'8/12</t>
  </si>
  <si>
    <t xml:space="preserve"> 9/7</t>
  </si>
  <si>
    <t>1st June 2025</t>
  </si>
  <si>
    <t>Sunday Adeyi</t>
  </si>
  <si>
    <t>Admin &amp; HR</t>
  </si>
  <si>
    <t>'5/12</t>
  </si>
  <si>
    <t xml:space="preserve"> 7/5</t>
  </si>
  <si>
    <t>28th Oct 2025</t>
  </si>
  <si>
    <t>STAFF ENHANCED WELFARE SCHEDULE 2026</t>
  </si>
  <si>
    <t>AMOUNT</t>
  </si>
  <si>
    <t>Grade Level       01 - 13</t>
  </si>
  <si>
    <t>Grade Level         14 - 17</t>
  </si>
  <si>
    <t>REASEARCH. ASST.</t>
  </si>
  <si>
    <t>TRAINING  &amp;  INT'L COOP</t>
  </si>
  <si>
    <t>CHIEF DRIVER</t>
  </si>
  <si>
    <t>CHIEF MOTOR DRIVER</t>
  </si>
  <si>
    <t>DRIVER</t>
  </si>
  <si>
    <t>STAFF PAYROLL FOR THE MONTH OF JANUARY 2026</t>
  </si>
  <si>
    <t>OLD GRADE LEVEL</t>
  </si>
  <si>
    <t>OLD BASIC SALARY</t>
  </si>
  <si>
    <t>NEW GRADE LEVEL</t>
  </si>
  <si>
    <t>NEW BASIC SALARY</t>
  </si>
  <si>
    <t>CHANGE IN STEPS (GROSS)</t>
  </si>
  <si>
    <t>OLD EMPLOYEE PENSIONS</t>
  </si>
  <si>
    <t>NEW EMPLOYEE PENSIONS</t>
  </si>
  <si>
    <t>CHANGES IN PENSIONS</t>
  </si>
  <si>
    <t>NEW ANNUAL PENSIONS</t>
  </si>
  <si>
    <t>NEW BASIC</t>
  </si>
  <si>
    <t>NHF 2.5%</t>
  </si>
  <si>
    <t>OLD NHF DED.</t>
  </si>
  <si>
    <t>INCREASE IN NHF</t>
  </si>
  <si>
    <t>NHF ANNUAL</t>
  </si>
  <si>
    <t>14(7)</t>
  </si>
  <si>
    <t>13(10)</t>
  </si>
  <si>
    <t>13 (8)</t>
  </si>
  <si>
    <t>17(7)</t>
  </si>
  <si>
    <t>16(7)</t>
  </si>
  <si>
    <t>8(13)</t>
  </si>
  <si>
    <t>17 (7)</t>
  </si>
  <si>
    <t>ASSIST ADMIN OFFICER, GIU</t>
  </si>
  <si>
    <t>7(4)</t>
  </si>
  <si>
    <t>7(3)</t>
  </si>
  <si>
    <t>5(11)</t>
  </si>
  <si>
    <t>4(9)</t>
  </si>
  <si>
    <t>67</t>
  </si>
  <si>
    <t>STAFF PAYROLL FOR THE MONTH OF JANUARY, 2026</t>
  </si>
  <si>
    <t>OLD CUM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</si>
  <si>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</si>
  <si>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</si>
  <si>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</si>
  <si>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</si>
  <si>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</si>
  <si>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</si>
  <si>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</si>
  <si>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</si>
  <si>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</si>
  <si>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</si>
  <si>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</si>
  <si>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</si>
  <si>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</si>
  <si>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</si>
  <si>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</si>
  <si>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</si>
  <si>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</si>
  <si>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</si>
  <si>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</si>
  <si>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</si>
  <si>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</si>
  <si>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</si>
  <si>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</si>
  <si>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</si>
  <si>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</si>
  <si>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</si>
  <si>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</si>
  <si>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</si>
  <si>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</si>
  <si>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</si>
  <si>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CHIEF ICT OFFICER</t>
  </si>
  <si>
    <t>13 (10)</t>
  </si>
  <si>
    <t>PRINC.CONF SEC/PPS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</si>
  <si>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</si>
  <si>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</si>
  <si>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</si>
  <si>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</si>
  <si>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</si>
  <si>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</si>
  <si>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DR MAIMUNA IZAH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</si>
  <si>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</si>
  <si>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</si>
  <si>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</si>
  <si>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</si>
  <si>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</si>
  <si>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</si>
  <si>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</si>
  <si>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</si>
  <si>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</si>
  <si>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TRANSPORT OFFICER</t>
  </si>
  <si>
    <t>SENIOR CONFIDENTIAL SECRETARY</t>
  </si>
  <si>
    <t>ADMIN. ASSISTANT DLSS</t>
  </si>
  <si>
    <t>DISPATCH OFFICER</t>
  </si>
  <si>
    <t>NAMADI IDRIS UMAR</t>
  </si>
  <si>
    <t>5 (11)</t>
  </si>
  <si>
    <t>JONATHAN GABRIEL</t>
  </si>
  <si>
    <t>5 (10)</t>
  </si>
  <si>
    <t>60</t>
  </si>
  <si>
    <t xml:space="preserve"> TOTAL FOR OLD STAFF</t>
  </si>
  <si>
    <t>TOTAL FOR NEW STAFF</t>
  </si>
  <si>
    <t xml:space="preserve"> GRAND TOTAL </t>
  </si>
  <si>
    <t xml:space="preserve">2025 ANALYSIS OF STAFF PROMOTION ARREARS </t>
  </si>
  <si>
    <t>Consolidated Salary of Present Position</t>
  </si>
  <si>
    <t>Consolidated Salary of New Position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</si>
  <si>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</si>
  <si>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</si>
  <si>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</si>
  <si>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</si>
  <si>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</si>
  <si>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</si>
  <si>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SUMMARY OF 2025 CHRISTMAS WELFARE</t>
  </si>
  <si>
    <t>Permanent Staff</t>
  </si>
  <si>
    <t>Contract Staff</t>
  </si>
  <si>
    <t>Casual, Sabbatical &amp; NYSC</t>
  </si>
  <si>
    <t>Consultants/Freelance</t>
  </si>
  <si>
    <t>Cleaners &amp; Security Personnel</t>
  </si>
  <si>
    <t>Total</t>
  </si>
  <si>
    <t>STAFF PAYROLL FOR THE MONTH OF JUNE, 2025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</si>
  <si>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</si>
  <si>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</si>
  <si>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</si>
  <si>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</si>
  <si>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</si>
  <si>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</si>
  <si>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</si>
  <si>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</si>
  <si>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</si>
  <si>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MINIMUM TAX PAYABLE</t>
  </si>
  <si>
    <t>NEW ACTUAL TAX PAYABLE</t>
  </si>
  <si>
    <t>INCREASE IN PAYE</t>
  </si>
  <si>
    <t>DEMOCRACY RADIO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</si>
  <si>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</si>
  <si>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</si>
  <si>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</si>
  <si>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</si>
  <si>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</si>
  <si>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</si>
  <si>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</si>
  <si>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</si>
  <si>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</si>
  <si>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</si>
  <si>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</si>
  <si>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</si>
  <si>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</si>
  <si>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</si>
  <si>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</si>
  <si>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</si>
  <si>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</si>
  <si>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</si>
  <si>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</si>
  <si>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</si>
  <si>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</si>
  <si>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</si>
  <si>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</si>
  <si>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</si>
  <si>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</si>
  <si>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</si>
  <si>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</si>
  <si>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</si>
  <si>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</si>
  <si>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</si>
  <si>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</si>
  <si>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</si>
  <si>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</si>
  <si>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</si>
  <si>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</si>
  <si>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</si>
  <si>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</si>
  <si>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</si>
  <si>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</si>
  <si>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</si>
  <si>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</si>
  <si>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</si>
  <si>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</si>
  <si>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</si>
  <si>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</si>
  <si>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</si>
  <si>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</si>
  <si>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</si>
  <si>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</si>
  <si>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</si>
  <si>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</si>
  <si>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</si>
  <si>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</si>
  <si>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</si>
  <si>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</si>
  <si>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</si>
  <si>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</si>
  <si>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</si>
  <si>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</si>
  <si>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</si>
  <si>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</si>
  <si>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</si>
  <si>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</si>
  <si>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</si>
  <si>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</si>
  <si>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</si>
  <si>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</si>
  <si>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</si>
  <si>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</si>
  <si>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</si>
  <si>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</si>
  <si>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</si>
  <si>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</si>
  <si>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</si>
  <si>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</si>
  <si>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</si>
  <si>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</si>
  <si>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</si>
  <si>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</si>
  <si>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</si>
  <si>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</si>
  <si>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</si>
  <si>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</si>
  <si>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</si>
  <si>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</si>
  <si>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</si>
  <si>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</si>
  <si>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</si>
  <si>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</si>
  <si>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</si>
  <si>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</si>
  <si>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</si>
  <si>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</si>
  <si>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</si>
  <si>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</si>
  <si>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</si>
  <si>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</si>
  <si>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</si>
  <si>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</si>
  <si>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</si>
  <si>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</si>
  <si>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</si>
  <si>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</si>
  <si>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</si>
  <si>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</si>
  <si>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</si>
  <si>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</si>
  <si>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</si>
  <si>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</si>
  <si>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</si>
  <si>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</si>
  <si>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</si>
  <si>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</si>
  <si>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</si>
  <si>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</si>
  <si>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</si>
  <si>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</si>
  <si>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</si>
  <si>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</si>
  <si>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</si>
  <si>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</si>
  <si>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</si>
  <si>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</si>
  <si>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</si>
  <si>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</si>
  <si>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</si>
  <si>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</si>
  <si>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</si>
  <si>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</si>
  <si>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</si>
  <si>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</si>
  <si>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</si>
  <si>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</si>
  <si>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</si>
  <si>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</si>
  <si>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</si>
  <si>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</si>
  <si>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</si>
  <si>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</si>
  <si>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</si>
  <si>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</si>
  <si>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</si>
  <si>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</si>
  <si>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</si>
  <si>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</si>
  <si>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</si>
  <si>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</si>
  <si>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</si>
  <si>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</si>
  <si>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</si>
  <si>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</si>
  <si>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</si>
  <si>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</si>
  <si>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</si>
  <si>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</si>
  <si>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</si>
  <si>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</si>
  <si>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</si>
  <si>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</si>
  <si>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</si>
  <si>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</si>
  <si>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</si>
  <si>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</si>
  <si>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</si>
  <si>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</si>
  <si>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</si>
  <si>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</si>
  <si>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</si>
  <si>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</si>
  <si>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</si>
  <si>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</si>
  <si>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</si>
  <si>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</si>
  <si>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</si>
  <si>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</si>
  <si>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</si>
  <si>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</si>
  <si>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</si>
  <si>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</si>
  <si>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</si>
  <si>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</si>
  <si>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</si>
  <si>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</si>
  <si>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</si>
  <si>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</si>
  <si>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</si>
  <si>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</si>
  <si>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</si>
  <si>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</si>
  <si>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</si>
  <si>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</si>
  <si>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</si>
  <si>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</si>
  <si>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</si>
  <si>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</si>
  <si>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</si>
  <si>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</si>
  <si>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</si>
  <si>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</si>
  <si>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</si>
  <si>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</si>
  <si>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</si>
  <si>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</si>
  <si>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</si>
  <si>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</si>
  <si>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</si>
  <si>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</si>
  <si>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</si>
  <si>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</si>
  <si>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</si>
  <si>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</si>
  <si>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</si>
  <si>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</si>
  <si>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</si>
  <si>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</si>
  <si>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</si>
  <si>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</si>
  <si>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</si>
  <si>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</si>
  <si>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</si>
  <si>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</si>
  <si>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</si>
  <si>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</si>
  <si>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</si>
  <si>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</si>
  <si>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</si>
  <si>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</si>
  <si>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</si>
  <si>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</si>
  <si>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</si>
  <si>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</si>
  <si>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</si>
  <si>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</si>
  <si>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</si>
  <si>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</si>
  <si>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</si>
  <si>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</si>
  <si>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</si>
  <si>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</si>
  <si>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</si>
  <si>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</si>
  <si>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</si>
  <si>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</si>
  <si>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</si>
  <si>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</si>
  <si>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</si>
  <si>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</si>
  <si>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</si>
  <si>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</si>
  <si>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</si>
  <si>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</si>
  <si>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</si>
  <si>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</si>
  <si>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</si>
  <si>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</si>
  <si>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</si>
  <si>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</si>
  <si>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</si>
  <si>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</si>
  <si>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</si>
  <si>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</si>
  <si>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</si>
  <si>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</si>
  <si>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</si>
  <si>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</si>
  <si>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</si>
  <si>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</si>
  <si>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</si>
  <si>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</si>
  <si>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</si>
  <si>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</si>
  <si>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</si>
  <si>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</si>
  <si>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</si>
  <si>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</si>
  <si>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</si>
  <si>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</si>
  <si>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</si>
  <si>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</si>
  <si>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</si>
  <si>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</si>
  <si>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</si>
  <si>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</si>
  <si>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</si>
  <si>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</si>
  <si>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</si>
  <si>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</si>
  <si>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</si>
  <si>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</si>
  <si>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</si>
  <si>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</si>
  <si>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</si>
  <si>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</si>
  <si>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</si>
  <si>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</si>
  <si>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</si>
  <si>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</si>
  <si>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</si>
  <si>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</si>
  <si>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</si>
  <si>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</si>
  <si>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</si>
  <si>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</si>
  <si>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</si>
  <si>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</si>
  <si>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</si>
  <si>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</si>
  <si>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</si>
  <si>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</si>
  <si>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</si>
  <si>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</si>
  <si>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</si>
  <si>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</si>
  <si>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New Permanent Staff</t>
  </si>
  <si>
    <t>New Contract Staff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</si>
  <si>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</si>
  <si>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</si>
  <si>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</si>
  <si>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</si>
  <si>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</si>
  <si>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</si>
  <si>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</si>
  <si>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</si>
  <si>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</si>
  <si>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</si>
  <si>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</si>
  <si>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</si>
  <si>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</si>
  <si>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</si>
  <si>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</si>
  <si>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</si>
  <si>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</si>
  <si>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</si>
  <si>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</si>
  <si>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</si>
  <si>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</si>
  <si>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</si>
  <si>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</si>
  <si>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</si>
  <si>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</si>
  <si>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</si>
  <si>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</si>
  <si>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</si>
  <si>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</si>
  <si>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</si>
  <si>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</si>
  <si>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</si>
  <si>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</si>
  <si>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</si>
  <si>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</si>
  <si>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</si>
  <si>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</si>
  <si>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</si>
  <si>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</si>
  <si>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</si>
  <si>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</si>
  <si>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</si>
  <si>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</si>
  <si>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</si>
  <si>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</si>
  <si>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</si>
  <si>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</si>
  <si>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</si>
  <si>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</si>
  <si>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</si>
  <si>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</si>
  <si>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</si>
  <si>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</si>
  <si>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</si>
  <si>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</si>
  <si>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</si>
  <si>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</si>
  <si>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</si>
  <si>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</si>
  <si>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</si>
  <si>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</si>
  <si>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</si>
  <si>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</si>
  <si>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</si>
  <si>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</si>
  <si>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</si>
  <si>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</si>
  <si>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</si>
  <si>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</si>
  <si>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</si>
  <si>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</si>
  <si>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</si>
  <si>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</si>
  <si>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</si>
  <si>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</si>
  <si>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</si>
  <si>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</si>
  <si>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</si>
  <si>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</si>
  <si>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</si>
  <si>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</si>
  <si>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</si>
  <si>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</si>
  <si>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</si>
  <si>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</si>
  <si>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</si>
  <si>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</si>
  <si>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</si>
  <si>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</si>
  <si>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</si>
  <si>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</si>
  <si>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</si>
  <si>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</si>
  <si>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</si>
  <si>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</si>
  <si>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</si>
  <si>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</si>
  <si>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</si>
  <si>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</si>
  <si>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</si>
  <si>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</si>
  <si>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</si>
  <si>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</si>
  <si>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</si>
  <si>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</si>
  <si>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</si>
  <si>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</si>
  <si>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</si>
  <si>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</si>
  <si>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</si>
  <si>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</si>
  <si>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</si>
  <si>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</si>
  <si>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</si>
  <si>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</si>
  <si>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</si>
  <si>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</si>
  <si>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</si>
  <si>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</si>
  <si>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</si>
  <si>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</si>
  <si>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</si>
  <si>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</si>
  <si>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</si>
  <si>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</si>
  <si>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</si>
  <si>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</si>
  <si>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</si>
  <si>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</si>
  <si>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</si>
  <si>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</si>
  <si>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</si>
  <si>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</si>
  <si>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</si>
  <si>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</si>
  <si>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</si>
  <si>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</si>
  <si>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</si>
  <si>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</si>
  <si>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</si>
  <si>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</si>
  <si>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</si>
  <si>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</si>
  <si>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</si>
  <si>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</si>
  <si>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</si>
  <si>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</si>
  <si>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</si>
  <si>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</si>
  <si>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</si>
  <si>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</si>
  <si>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</si>
  <si>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</si>
  <si>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</si>
  <si>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</si>
  <si>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</si>
  <si>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</si>
  <si>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</si>
  <si>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</si>
  <si>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</si>
  <si>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</si>
  <si>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</si>
  <si>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</si>
  <si>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</si>
  <si>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</si>
  <si>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</si>
  <si>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</si>
  <si>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</si>
  <si>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</si>
  <si>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</si>
  <si>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</si>
  <si>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</si>
  <si>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</si>
  <si>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</si>
  <si>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</si>
  <si>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</si>
  <si>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</si>
  <si>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</si>
  <si>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</si>
  <si>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</si>
  <si>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</si>
  <si>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</si>
  <si>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</si>
  <si>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</si>
  <si>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</si>
  <si>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</si>
  <si>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</si>
  <si>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</si>
  <si>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</si>
  <si>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</si>
  <si>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</si>
  <si>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</si>
  <si>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</si>
  <si>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</si>
  <si>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</si>
  <si>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</si>
  <si>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</si>
  <si>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</si>
  <si>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</si>
  <si>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</si>
  <si>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</si>
  <si>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</si>
  <si>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</si>
  <si>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</si>
  <si>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</si>
  <si>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</si>
  <si>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</si>
  <si>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</si>
  <si>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</si>
  <si>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</si>
  <si>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</si>
  <si>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</si>
  <si>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</si>
  <si>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</si>
  <si>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</si>
  <si>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</si>
  <si>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</si>
  <si>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</si>
  <si>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</si>
  <si>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</si>
  <si>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</si>
  <si>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</si>
  <si>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</si>
  <si>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</si>
  <si>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</si>
  <si>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</si>
  <si>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</si>
  <si>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</si>
  <si>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</si>
  <si>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</si>
  <si>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</si>
  <si>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</si>
  <si>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</si>
  <si>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</si>
  <si>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</si>
  <si>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</si>
  <si>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</si>
  <si>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</si>
  <si>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</si>
  <si>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</si>
  <si>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</si>
  <si>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</si>
  <si>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</si>
  <si>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</si>
  <si>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</si>
  <si>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</si>
  <si>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</si>
  <si>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</si>
  <si>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</si>
  <si>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</si>
  <si>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</si>
  <si>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</si>
  <si>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</si>
  <si>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</si>
  <si>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</si>
  <si>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</si>
  <si>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</si>
  <si>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</si>
  <si>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</si>
  <si>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</si>
  <si>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</si>
  <si>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</si>
  <si>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</si>
  <si>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</si>
  <si>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</si>
  <si>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</si>
  <si>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</si>
  <si>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</si>
  <si>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</si>
  <si>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</si>
  <si>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</si>
  <si>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</si>
  <si>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</si>
  <si>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</si>
  <si>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</si>
  <si>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</si>
  <si>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</si>
  <si>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</si>
  <si>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</si>
  <si>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</si>
  <si>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</si>
  <si>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</si>
  <si>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</si>
  <si>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</si>
  <si>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</si>
  <si>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</si>
  <si>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</si>
  <si>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</si>
  <si>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</si>
  <si>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</si>
  <si>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</si>
  <si>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</si>
  <si>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</si>
  <si>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</si>
  <si>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</si>
  <si>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</si>
  <si>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</si>
  <si>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</si>
  <si>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</si>
  <si>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</si>
  <si>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</si>
  <si>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</si>
  <si>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</si>
  <si>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</si>
  <si>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</si>
  <si>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</si>
  <si>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</si>
  <si>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</si>
  <si>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</si>
  <si>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</si>
  <si>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</si>
  <si>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</si>
  <si>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</si>
  <si>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</si>
  <si>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</si>
  <si>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</si>
  <si>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</si>
  <si>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</si>
  <si>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</si>
  <si>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</si>
  <si>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</si>
  <si>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</si>
  <si>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</si>
  <si>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</si>
  <si>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</si>
  <si>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</si>
  <si>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</si>
  <si>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</si>
  <si>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</si>
  <si>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</si>
  <si>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</si>
  <si>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</si>
  <si>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</si>
  <si>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</si>
  <si>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</si>
  <si>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</si>
  <si>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</si>
  <si>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</si>
  <si>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</si>
  <si>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</si>
  <si>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</si>
  <si>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</si>
  <si>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</si>
  <si>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</si>
  <si>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</si>
  <si>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</si>
  <si>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</si>
  <si>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</si>
  <si>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</si>
  <si>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</si>
  <si>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</si>
  <si>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</si>
  <si>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</si>
  <si>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</si>
  <si>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</si>
  <si>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</si>
  <si>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</si>
  <si>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</si>
  <si>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</si>
  <si>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</si>
  <si>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</si>
  <si>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</si>
  <si>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</si>
  <si>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</si>
  <si>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</si>
  <si>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</si>
  <si>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</si>
  <si>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</si>
  <si>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</si>
  <si>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</si>
  <si>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</si>
  <si>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</si>
  <si>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</si>
  <si>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</si>
  <si>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</si>
  <si>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</si>
  <si>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</si>
  <si>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</si>
  <si>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</si>
  <si>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</si>
  <si>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</si>
  <si>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</si>
  <si>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</si>
  <si>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</si>
  <si>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</si>
  <si>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</si>
  <si>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</si>
  <si>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</si>
  <si>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</si>
  <si>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</si>
  <si>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</si>
  <si>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</si>
  <si>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</si>
  <si>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</si>
  <si>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</si>
  <si>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</si>
  <si>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</si>
  <si>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</si>
  <si>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</si>
  <si>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</si>
  <si>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</si>
  <si>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</si>
  <si>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</si>
  <si>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</si>
  <si>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</si>
  <si>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</si>
  <si>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</si>
  <si>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</si>
  <si>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</si>
  <si>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</si>
  <si>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</si>
  <si>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</si>
  <si>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</si>
  <si>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</si>
  <si>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</si>
  <si>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</si>
  <si>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</si>
  <si>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</si>
  <si>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</si>
  <si>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</si>
  <si>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</si>
  <si>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</si>
  <si>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</si>
  <si>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</si>
  <si>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</si>
  <si>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</si>
  <si>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</si>
  <si>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</si>
  <si>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</si>
  <si>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</si>
  <si>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</si>
  <si>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</si>
  <si>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</si>
  <si>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</si>
  <si>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</si>
  <si>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</si>
  <si>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</si>
  <si>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</si>
  <si>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</si>
  <si>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</si>
  <si>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</si>
  <si>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</si>
  <si>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</si>
  <si>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</si>
  <si>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</si>
  <si>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</si>
  <si>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</si>
  <si>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</si>
  <si>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</si>
  <si>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</si>
  <si>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</si>
  <si>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</si>
  <si>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</si>
  <si>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</si>
  <si>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</si>
  <si>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</si>
  <si>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</si>
  <si>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</si>
  <si>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</si>
  <si>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</si>
  <si>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</si>
  <si>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</si>
  <si>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</si>
  <si>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</si>
  <si>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</si>
  <si>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</si>
  <si>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</si>
  <si>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</si>
  <si>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</si>
  <si>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</si>
  <si>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</si>
  <si>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</si>
  <si>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</si>
  <si>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</si>
  <si>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</si>
  <si>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</si>
  <si>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</si>
  <si>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</si>
  <si>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</si>
  <si>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</si>
  <si>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</si>
  <si>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</si>
  <si>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</si>
  <si>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</si>
  <si>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</si>
  <si>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</si>
  <si>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</si>
  <si>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</si>
  <si>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</si>
  <si>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</si>
  <si>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</si>
  <si>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</si>
  <si>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</si>
  <si>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</si>
  <si>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</si>
  <si>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</si>
  <si>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</si>
  <si>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</si>
  <si>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</si>
  <si>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</si>
  <si>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</si>
  <si>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</si>
  <si>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</si>
  <si>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</si>
  <si>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</si>
  <si>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</si>
  <si>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</si>
  <si>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</si>
  <si>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</si>
  <si>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</si>
  <si>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</si>
  <si>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</si>
  <si>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</si>
  <si>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</si>
  <si>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</si>
  <si>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</si>
  <si>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</si>
  <si>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</si>
  <si>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</si>
  <si>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</si>
  <si>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STAFF CHRISTMAS WELFARE DECEMBER 2023</t>
  </si>
  <si>
    <t>15 (7)</t>
  </si>
  <si>
    <t>FAROOQ ONOKIJIPA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</si>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</sst>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  <numFmt numFmtId="166" formatCode="#,##0.0"/>
    <numFmt numFmtId="167" formatCode="&quot; &quot;* #,##0.00&quot; &quot;;&quot; &quot;* \(#,##0.00\);&quot; &quot;* &quot;-&quot;??&quot; &quot;"/>
    <numFmt numFmtId="168" formatCode="#,##0&quot; &quot;;\(#,##0\)"/>
  </numFmts>
  <fonts count="127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</font>
    <font>
      <sz val="11"/>
      <color theme="1"/>
      <name val="Calibri"/>
      <scheme val="minor"/>
    </font>
    <font>
      <b/>
      <u/>
      <sz val="18"/>
      <name val="Times New Roman"/>
    </font>
    <font>
      <sz val="18"/>
      <name val="Times New Roman"/>
    </font>
    <font>
      <b/>
      <u/>
      <sz val="16"/>
      <name val="Times New Roman"/>
    </font>
    <font>
      <b/>
      <sz val="12"/>
      <name val="Times New Roman"/>
    </font>
    <font>
      <b/>
      <u/>
      <sz val="12"/>
      <name val="Times New Roman"/>
    </font>
    <font>
      <b/>
      <sz val="14"/>
      <name val="Times New Roman"/>
    </font>
    <font>
      <b/>
      <u/>
      <sz val="14"/>
      <name val="Times New Roman"/>
    </font>
    <font>
      <strike/>
      <sz val="14"/>
      <name val="Times New Roman"/>
    </font>
    <font>
      <sz val="14"/>
      <color theme="1"/>
      <name val="Times New Roman"/>
    </font>
    <font>
      <sz val="14"/>
      <color indexed="8"/>
      <name val="Times New Roman"/>
    </font>
    <font>
      <sz val="14"/>
      <color rgb="FFFF0000"/>
      <name val="Times New Roman"/>
    </font>
    <font>
      <b/>
      <sz val="12"/>
      <name val="Tahoma"/>
    </font>
    <font>
      <b/>
      <u/>
      <sz val="11"/>
      <name val="Times New Roman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"/>
    </font>
    <font>
      <u/>
      <sz val="11"/>
      <name val="Times New Roman"/>
      <charset val="134"/>
    </font>
    <font>
      <sz val="11"/>
      <color indexed="8"/>
      <name val="Calibri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8"/>
      <color indexed="10"/>
      <name val="Tahoma"/>
      <charset val="134"/>
    </font>
    <font>
      <sz val="8"/>
      <color indexed="8"/>
      <name val="Tahoma"/>
      <charset val="134"/>
    </font>
    <font>
      <b/>
      <u/>
      <sz val="10"/>
      <color theme="1"/>
      <name val="Times New Roman"/>
      <charset val="134"/>
    </font>
    <font>
      <sz val="8"/>
      <name val="Arial"/>
      <charset val="134"/>
    </font>
    <font>
      <sz val="10"/>
      <name val="Times New Roman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</borders>
  <cellStyleXfs count="7">
    <xf numFmtId="0" fontId="0" fillId="0" borderId="0"/>
    <xf numFmtId="43" fontId="126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126" fillId="0" borderId="0" applyFont="0" applyFill="0" applyBorder="0" applyAlignment="0" applyProtection="0"/>
    <xf numFmtId="165" fontId="126" fillId="0" borderId="0" applyFont="0" applyFill="0" applyBorder="0" applyAlignment="0" applyProtection="0"/>
    <xf numFmtId="0" fontId="126" fillId="0" borderId="0"/>
    <xf numFmtId="0" fontId="125" fillId="0" borderId="0" applyFont="0" applyFill="0" applyBorder="0" applyAlignment="0" applyProtection="0"/>
  </cellStyleXfs>
  <cellXfs count="123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5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2" borderId="1" xfId="0" applyFont="1" applyFill="1" applyBorder="1" applyAlignment="1"/>
    <xf numFmtId="0" fontId="103" fillId="2" borderId="1" xfId="0" applyFont="1" applyFill="1" applyBorder="1" applyAlignment="1">
      <alignment horizontal="left"/>
    </xf>
    <xf numFmtId="0" fontId="103" fillId="2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4" fillId="2" borderId="1" xfId="0" applyFont="1" applyFill="1" applyBorder="1" applyAlignment="1">
      <alignment horizontal="center"/>
    </xf>
    <xf numFmtId="49" fontId="95" fillId="3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5" fillId="0" borderId="1" xfId="1" applyFont="1" applyBorder="1"/>
    <xf numFmtId="4" fontId="105" fillId="0" borderId="1" xfId="1" applyNumberFormat="1" applyFont="1" applyFill="1" applyBorder="1" applyAlignment="1">
      <alignment horizontal="right"/>
    </xf>
    <xf numFmtId="4" fontId="106" fillId="2" borderId="18" xfId="0" applyNumberFormat="1" applyFont="1" applyFill="1" applyBorder="1" applyAlignment="1">
      <alignment horizontal="right"/>
    </xf>
    <xf numFmtId="43" fontId="105" fillId="2" borderId="1" xfId="1" applyFont="1" applyFill="1" applyBorder="1"/>
    <xf numFmtId="4" fontId="105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5" fillId="2" borderId="1" xfId="1" applyFont="1" applyFill="1" applyBorder="1" applyAlignment="1">
      <alignment horizontal="right"/>
    </xf>
    <xf numFmtId="43" fontId="105" fillId="2" borderId="18" xfId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0" fontId="107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109" fillId="2" borderId="1" xfId="0" applyFont="1" applyFill="1" applyBorder="1" applyAlignment="1">
      <alignment horizontal="center" wrapText="1"/>
    </xf>
    <xf numFmtId="0" fontId="103" fillId="28" borderId="1" xfId="0" applyFont="1" applyFill="1" applyBorder="1" applyAlignment="1">
      <alignment horizontal="left" wrapText="1"/>
    </xf>
    <xf numFmtId="0" fontId="104" fillId="28" borderId="1" xfId="0" applyFont="1" applyFill="1" applyBorder="1" applyAlignment="1">
      <alignment horizontal="center"/>
    </xf>
    <xf numFmtId="4" fontId="106" fillId="2" borderId="1" xfId="0" applyNumberFormat="1" applyFont="1" applyFill="1" applyBorder="1" applyAlignment="1">
      <alignment horizontal="right"/>
    </xf>
    <xf numFmtId="4" fontId="106" fillId="28" borderId="18" xfId="0" applyNumberFormat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83" fillId="0" borderId="1" xfId="0" applyFont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0" fontId="31" fillId="3" borderId="1" xfId="0" applyFont="1" applyFill="1" applyBorder="1" applyAlignment="1">
      <alignment wrapText="1"/>
    </xf>
    <xf numFmtId="0" fontId="35" fillId="29" borderId="1" xfId="0" applyFont="1" applyFill="1" applyBorder="1" applyAlignment="1">
      <alignment horizontal="center"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4" fontId="36" fillId="29" borderId="1" xfId="0" applyNumberFormat="1" applyFont="1" applyFill="1" applyBorder="1" applyAlignment="1">
      <alignment wrapText="1"/>
    </xf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2" fillId="0" borderId="1" xfId="0" applyNumberFormat="1" applyFont="1" applyBorder="1"/>
    <xf numFmtId="0" fontId="81" fillId="0" borderId="0" xfId="0" applyFont="1"/>
    <xf numFmtId="0" fontId="111" fillId="0" borderId="0" xfId="0" applyFont="1"/>
    <xf numFmtId="166" fontId="81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43" fontId="7" fillId="21" borderId="1" xfId="1" applyFont="1" applyFill="1" applyBorder="1" applyAlignment="1">
      <alignment horizontal="right"/>
    </xf>
    <xf numFmtId="43" fontId="64" fillId="0" borderId="1" xfId="1" applyFont="1" applyBorder="1"/>
    <xf numFmtId="43" fontId="36" fillId="2" borderId="1" xfId="1" applyFont="1" applyFill="1" applyBorder="1" applyAlignment="1">
      <alignment horizontal="right"/>
    </xf>
    <xf numFmtId="43" fontId="91" fillId="2" borderId="1" xfId="0" applyNumberFormat="1" applyFont="1" applyFill="1" applyBorder="1"/>
    <xf numFmtId="43" fontId="112" fillId="2" borderId="1" xfId="1" applyFont="1" applyFill="1" applyBorder="1" applyAlignment="1">
      <alignment horizontal="right"/>
    </xf>
    <xf numFmtId="43" fontId="64" fillId="2" borderId="1" xfId="1" applyFont="1" applyFill="1" applyBorder="1"/>
    <xf numFmtId="43" fontId="22" fillId="2" borderId="1" xfId="1" applyFont="1" applyFill="1" applyBorder="1" applyAlignment="1">
      <alignment horizontal="right"/>
    </xf>
    <xf numFmtId="43" fontId="7" fillId="30" borderId="1" xfId="1" applyFont="1" applyFill="1" applyBorder="1" applyAlignment="1">
      <alignment horizontal="right"/>
    </xf>
    <xf numFmtId="43" fontId="1" fillId="26" borderId="1" xfId="1" applyFont="1" applyFill="1" applyBorder="1" applyAlignment="1">
      <alignment horizontal="right"/>
    </xf>
    <xf numFmtId="49" fontId="1" fillId="26" borderId="1" xfId="0" applyNumberFormat="1" applyFont="1" applyFill="1" applyBorder="1" applyAlignment="1">
      <alignment horizontal="center"/>
    </xf>
    <xf numFmtId="0" fontId="1" fillId="29" borderId="1" xfId="0" applyFont="1" applyFill="1" applyBorder="1"/>
    <xf numFmtId="0" fontId="2" fillId="29" borderId="1" xfId="0" applyFont="1" applyFill="1" applyBorder="1" applyAlignment="1">
      <alignment horizontal="left"/>
    </xf>
    <xf numFmtId="0" fontId="3" fillId="29" borderId="1" xfId="0" applyFont="1" applyFill="1" applyBorder="1" applyAlignment="1">
      <alignment horizontal="left"/>
    </xf>
    <xf numFmtId="0" fontId="16" fillId="29" borderId="1" xfId="0" applyFont="1" applyFill="1" applyBorder="1" applyAlignment="1">
      <alignment horizontal="left" wrapText="1"/>
    </xf>
    <xf numFmtId="0" fontId="3" fillId="29" borderId="1" xfId="0" applyFont="1" applyFill="1" applyBorder="1" applyAlignment="1">
      <alignment horizontal="center" wrapText="1"/>
    </xf>
    <xf numFmtId="0" fontId="18" fillId="25" borderId="1" xfId="0" applyFont="1" applyFill="1" applyBorder="1" applyAlignment="1">
      <alignment horizontal="center"/>
    </xf>
    <xf numFmtId="0" fontId="18" fillId="26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43" fontId="1" fillId="25" borderId="1" xfId="1" applyFont="1" applyFill="1" applyBorder="1" applyAlignment="1">
      <alignment horizontal="right"/>
    </xf>
    <xf numFmtId="4" fontId="1" fillId="9" borderId="1" xfId="0" applyNumberFormat="1" applyFont="1" applyFill="1" applyBorder="1"/>
    <xf numFmtId="43" fontId="2" fillId="25" borderId="1" xfId="1" applyFont="1" applyFill="1" applyBorder="1" applyAlignment="1">
      <alignment horizontal="right"/>
    </xf>
    <xf numFmtId="43" fontId="2" fillId="26" borderId="1" xfId="1" applyFont="1" applyFill="1" applyBorder="1" applyAlignment="1">
      <alignment horizontal="right"/>
    </xf>
    <xf numFmtId="43" fontId="1" fillId="25" borderId="1" xfId="1" applyFont="1" applyFill="1" applyBorder="1"/>
    <xf numFmtId="43" fontId="21" fillId="25" borderId="1" xfId="1" applyFont="1" applyFill="1" applyBorder="1" applyAlignment="1">
      <alignment horizontal="right"/>
    </xf>
    <xf numFmtId="43" fontId="21" fillId="26" borderId="1" xfId="1" applyFont="1" applyFill="1" applyBorder="1" applyAlignment="1">
      <alignment horizontal="right"/>
    </xf>
    <xf numFmtId="43" fontId="3" fillId="25" borderId="1" xfId="1" applyFont="1" applyFill="1" applyBorder="1" applyAlignment="1">
      <alignment horizontal="right"/>
    </xf>
    <xf numFmtId="43" fontId="3" fillId="26" borderId="1" xfId="1" applyFont="1" applyFill="1" applyBorder="1" applyAlignment="1">
      <alignment horizontal="right"/>
    </xf>
    <xf numFmtId="0" fontId="1" fillId="25" borderId="1" xfId="0" applyFont="1" applyFill="1" applyBorder="1"/>
    <xf numFmtId="0" fontId="1" fillId="26" borderId="1" xfId="0" applyFont="1" applyFill="1" applyBorder="1"/>
    <xf numFmtId="43" fontId="21" fillId="25" borderId="1" xfId="0" applyNumberFormat="1" applyFont="1" applyFill="1" applyBorder="1"/>
    <xf numFmtId="43" fontId="21" fillId="26" borderId="1" xfId="0" applyNumberFormat="1" applyFont="1" applyFill="1" applyBorder="1"/>
    <xf numFmtId="43" fontId="21" fillId="9" borderId="1" xfId="1" applyFont="1" applyFill="1" applyBorder="1"/>
    <xf numFmtId="43" fontId="7" fillId="25" borderId="1" xfId="1" applyFont="1" applyFill="1" applyBorder="1" applyAlignment="1">
      <alignment horizontal="right"/>
    </xf>
    <xf numFmtId="0" fontId="20" fillId="2" borderId="1" xfId="0" applyFont="1" applyFill="1" applyBorder="1"/>
    <xf numFmtId="0" fontId="113" fillId="0" borderId="0" xfId="0" applyNumberFormat="1" applyFont="1" applyAlignment="1"/>
    <xf numFmtId="49" fontId="114" fillId="31" borderId="19" xfId="0" applyNumberFormat="1" applyFont="1" applyFill="1" applyBorder="1" applyAlignment="1"/>
    <xf numFmtId="167" fontId="114" fillId="31" borderId="19" xfId="0" applyNumberFormat="1" applyFont="1" applyFill="1" applyBorder="1" applyAlignment="1"/>
    <xf numFmtId="167" fontId="113" fillId="31" borderId="19" xfId="0" applyNumberFormat="1" applyFont="1" applyFill="1" applyBorder="1" applyAlignment="1"/>
    <xf numFmtId="0" fontId="114" fillId="31" borderId="19" xfId="0" applyFont="1" applyFill="1" applyBorder="1" applyAlignment="1"/>
    <xf numFmtId="167" fontId="115" fillId="31" borderId="19" xfId="0" applyNumberFormat="1" applyFont="1" applyFill="1" applyBorder="1" applyAlignment="1"/>
    <xf numFmtId="0" fontId="115" fillId="31" borderId="19" xfId="0" applyNumberFormat="1" applyFont="1" applyFill="1" applyBorder="1" applyAlignment="1"/>
    <xf numFmtId="49" fontId="115" fillId="31" borderId="22" xfId="0" applyNumberFormat="1" applyFont="1" applyFill="1" applyBorder="1" applyAlignment="1"/>
    <xf numFmtId="49" fontId="114" fillId="31" borderId="23" xfId="0" applyNumberFormat="1" applyFont="1" applyFill="1" applyBorder="1" applyAlignment="1"/>
    <xf numFmtId="49" fontId="114" fillId="31" borderId="24" xfId="0" applyNumberFormat="1" applyFont="1" applyFill="1" applyBorder="1" applyAlignment="1"/>
    <xf numFmtId="49" fontId="114" fillId="32" borderId="19" xfId="0" applyNumberFormat="1" applyFont="1" applyFill="1" applyBorder="1" applyAlignment="1">
      <alignment horizontal="center"/>
    </xf>
    <xf numFmtId="49" fontId="114" fillId="32" borderId="19" xfId="0" applyNumberFormat="1" applyFont="1" applyFill="1" applyBorder="1" applyAlignment="1"/>
    <xf numFmtId="49" fontId="114" fillId="32" borderId="19" xfId="0" applyNumberFormat="1" applyFont="1" applyFill="1" applyBorder="1" applyAlignment="1">
      <alignment horizontal="center" wrapText="1"/>
    </xf>
    <xf numFmtId="0" fontId="113" fillId="31" borderId="19" xfId="0" applyFont="1" applyFill="1" applyBorder="1" applyAlignment="1"/>
    <xf numFmtId="49" fontId="114" fillId="31" borderId="19" xfId="0" applyNumberFormat="1" applyFont="1" applyFill="1" applyBorder="1" applyAlignment="1">
      <alignment vertical="top" wrapText="1"/>
    </xf>
    <xf numFmtId="167" fontId="114" fillId="31" borderId="19" xfId="0" applyNumberFormat="1" applyFont="1" applyFill="1" applyBorder="1" applyAlignment="1">
      <alignment horizontal="center"/>
    </xf>
    <xf numFmtId="49" fontId="116" fillId="31" borderId="19" xfId="0" applyNumberFormat="1" applyFont="1" applyFill="1" applyBorder="1" applyAlignment="1">
      <alignment horizontal="center" vertical="top" wrapText="1"/>
    </xf>
    <xf numFmtId="167" fontId="114" fillId="31" borderId="19" xfId="0" applyNumberFormat="1" applyFont="1" applyFill="1" applyBorder="1" applyAlignment="1">
      <alignment horizontal="center" vertical="top" wrapText="1"/>
    </xf>
    <xf numFmtId="49" fontId="114" fillId="31" borderId="1" xfId="0" applyNumberFormat="1" applyFont="1" applyFill="1" applyBorder="1" applyAlignment="1">
      <alignment vertical="top" wrapText="1"/>
    </xf>
    <xf numFmtId="49" fontId="114" fillId="31" borderId="1" xfId="0" applyNumberFormat="1" applyFont="1" applyFill="1" applyBorder="1" applyAlignment="1">
      <alignment horizontal="center" vertical="top" wrapText="1"/>
    </xf>
    <xf numFmtId="0" fontId="117" fillId="31" borderId="19" xfId="0" applyNumberFormat="1" applyFont="1" applyFill="1" applyBorder="1" applyAlignment="1">
      <alignment horizontal="right"/>
    </xf>
    <xf numFmtId="1" fontId="113" fillId="31" borderId="19" xfId="0" applyNumberFormat="1" applyFont="1" applyFill="1" applyBorder="1" applyAlignment="1"/>
    <xf numFmtId="4" fontId="58" fillId="2" borderId="1" xfId="1" applyNumberFormat="1" applyFont="1" applyFill="1" applyBorder="1"/>
    <xf numFmtId="168" fontId="113" fillId="31" borderId="19" xfId="0" applyNumberFormat="1" applyFont="1" applyFill="1" applyBorder="1" applyAlignment="1">
      <alignment horizontal="center" vertical="center"/>
    </xf>
    <xf numFmtId="0" fontId="117" fillId="31" borderId="25" xfId="0" applyNumberFormat="1" applyFont="1" applyFill="1" applyBorder="1" applyAlignment="1">
      <alignment horizontal="right"/>
    </xf>
    <xf numFmtId="0" fontId="113" fillId="31" borderId="25" xfId="0" applyFont="1" applyFill="1" applyBorder="1" applyAlignment="1"/>
    <xf numFmtId="167" fontId="113" fillId="31" borderId="25" xfId="0" applyNumberFormat="1" applyFont="1" applyFill="1" applyBorder="1" applyAlignment="1"/>
    <xf numFmtId="167" fontId="113" fillId="31" borderId="26" xfId="0" applyNumberFormat="1" applyFont="1" applyFill="1" applyBorder="1" applyAlignment="1"/>
    <xf numFmtId="0" fontId="117" fillId="31" borderId="1" xfId="0" applyNumberFormat="1" applyFont="1" applyFill="1" applyBorder="1" applyAlignment="1">
      <alignment horizontal="right"/>
    </xf>
    <xf numFmtId="0" fontId="113" fillId="0" borderId="1" xfId="0" applyNumberFormat="1" applyFont="1" applyBorder="1" applyAlignment="1"/>
    <xf numFmtId="0" fontId="113" fillId="0" borderId="27" xfId="0" applyNumberFormat="1" applyFont="1" applyBorder="1" applyAlignment="1"/>
    <xf numFmtId="0" fontId="0" fillId="0" borderId="27" xfId="0" applyBorder="1"/>
    <xf numFmtId="0" fontId="117" fillId="31" borderId="5" xfId="0" applyNumberFormat="1" applyFont="1" applyFill="1" applyBorder="1" applyAlignment="1">
      <alignment horizontal="right"/>
    </xf>
    <xf numFmtId="49" fontId="81" fillId="2" borderId="5" xfId="0" applyNumberFormat="1" applyFont="1" applyFill="1" applyBorder="1" applyAlignment="1">
      <alignment horizontal="left" wrapText="1"/>
    </xf>
    <xf numFmtId="0" fontId="0" fillId="0" borderId="5" xfId="0" applyBorder="1"/>
    <xf numFmtId="0" fontId="0" fillId="0" borderId="28" xfId="0" applyBorder="1"/>
    <xf numFmtId="168" fontId="113" fillId="31" borderId="29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168" fontId="113" fillId="31" borderId="27" xfId="0" applyNumberFormat="1" applyFont="1" applyFill="1" applyBorder="1" applyAlignment="1">
      <alignment horizontal="center" vertical="center"/>
    </xf>
    <xf numFmtId="0" fontId="64" fillId="2" borderId="1" xfId="0" applyFont="1" applyFill="1" applyBorder="1" applyAlignment="1">
      <alignment horizontal="center"/>
    </xf>
    <xf numFmtId="167" fontId="116" fillId="31" borderId="31" xfId="0" applyNumberFormat="1" applyFont="1" applyFill="1" applyBorder="1" applyAlignment="1">
      <alignment horizontal="center" wrapText="1"/>
    </xf>
    <xf numFmtId="167" fontId="114" fillId="31" borderId="33" xfId="0" applyNumberFormat="1" applyFont="1" applyFill="1" applyBorder="1" applyAlignment="1">
      <alignment horizontal="center"/>
    </xf>
    <xf numFmtId="167" fontId="114" fillId="31" borderId="1" xfId="0" applyNumberFormat="1" applyFont="1" applyFill="1" applyBorder="1" applyAlignment="1">
      <alignment horizontal="center" vertical="top" wrapText="1"/>
    </xf>
    <xf numFmtId="167" fontId="114" fillId="31" borderId="34" xfId="0" applyNumberFormat="1" applyFont="1" applyFill="1" applyBorder="1" applyAlignment="1">
      <alignment horizontal="center"/>
    </xf>
    <xf numFmtId="167" fontId="114" fillId="31" borderId="35" xfId="0" applyNumberFormat="1" applyFont="1" applyFill="1" applyBorder="1" applyAlignment="1">
      <alignment horizontal="center"/>
    </xf>
    <xf numFmtId="167" fontId="113" fillId="31" borderId="36" xfId="0" applyNumberFormat="1" applyFont="1" applyFill="1" applyBorder="1" applyAlignment="1"/>
    <xf numFmtId="167" fontId="113" fillId="31" borderId="37" xfId="0" applyNumberFormat="1" applyFont="1" applyFill="1" applyBorder="1" applyAlignment="1"/>
    <xf numFmtId="4" fontId="31" fillId="2" borderId="1" xfId="4" applyNumberFormat="1" applyFont="1" applyFill="1" applyBorder="1" applyAlignment="1">
      <alignment horizontal="right"/>
    </xf>
    <xf numFmtId="49" fontId="32" fillId="2" borderId="1" xfId="0" applyNumberFormat="1" applyFont="1" applyFill="1" applyBorder="1" applyAlignment="1">
      <alignment horizontal="left" wrapText="1"/>
    </xf>
    <xf numFmtId="49" fontId="36" fillId="2" borderId="1" xfId="0" applyNumberFormat="1" applyFont="1" applyFill="1" applyBorder="1" applyAlignment="1">
      <alignment wrapText="1"/>
    </xf>
    <xf numFmtId="1" fontId="0" fillId="2" borderId="0" xfId="0" applyNumberFormat="1" applyFill="1"/>
    <xf numFmtId="1" fontId="57" fillId="2" borderId="15" xfId="0" applyNumberFormat="1" applyFont="1" applyFill="1" applyBorder="1" applyAlignment="1">
      <alignment wrapText="1"/>
    </xf>
    <xf numFmtId="1" fontId="58" fillId="2" borderId="1" xfId="0" applyNumberFormat="1" applyFont="1" applyFill="1" applyBorder="1" applyAlignment="1">
      <alignment horizontal="center" wrapText="1"/>
    </xf>
    <xf numFmtId="4" fontId="59" fillId="2" borderId="1" xfId="1" applyNumberFormat="1" applyFont="1" applyFill="1" applyBorder="1" applyAlignment="1">
      <alignment vertical="center"/>
    </xf>
    <xf numFmtId="0" fontId="58" fillId="25" borderId="1" xfId="0" applyFont="1" applyFill="1" applyBorder="1" applyAlignment="1">
      <alignment horizontal="center"/>
    </xf>
    <xf numFmtId="49" fontId="19" fillId="25" borderId="1" xfId="0" applyNumberFormat="1" applyFont="1" applyFill="1" applyBorder="1" applyAlignment="1">
      <alignment wrapText="1"/>
    </xf>
    <xf numFmtId="4" fontId="59" fillId="25" borderId="1" xfId="1" applyNumberFormat="1" applyFont="1" applyFill="1" applyBorder="1" applyAlignment="1">
      <alignment vertical="center"/>
    </xf>
    <xf numFmtId="1" fontId="58" fillId="25" borderId="1" xfId="0" applyNumberFormat="1" applyFont="1" applyFill="1" applyBorder="1" applyAlignment="1">
      <alignment horizontal="center" wrapText="1"/>
    </xf>
    <xf numFmtId="4" fontId="58" fillId="25" borderId="1" xfId="1" applyNumberFormat="1" applyFont="1" applyFill="1" applyBorder="1"/>
    <xf numFmtId="49" fontId="19" fillId="25" borderId="1" xfId="0" applyNumberFormat="1" applyFont="1" applyFill="1" applyBorder="1" applyAlignment="1">
      <alignment horizontal="left" wrapText="1"/>
    </xf>
    <xf numFmtId="4" fontId="31" fillId="25" borderId="1" xfId="4" applyNumberFormat="1" applyFont="1" applyFill="1" applyBorder="1" applyAlignment="1">
      <alignment horizontal="right"/>
    </xf>
    <xf numFmtId="4" fontId="118" fillId="2" borderId="1" xfId="1" applyNumberFormat="1" applyFont="1" applyFill="1" applyBorder="1"/>
    <xf numFmtId="1" fontId="118" fillId="2" borderId="1" xfId="1" applyNumberFormat="1" applyFont="1" applyFill="1" applyBorder="1"/>
    <xf numFmtId="0" fontId="57" fillId="9" borderId="15" xfId="0" applyFont="1" applyFill="1" applyBorder="1" applyAlignment="1">
      <alignment horizontal="right" wrapText="1"/>
    </xf>
    <xf numFmtId="43" fontId="58" fillId="9" borderId="1" xfId="1" applyFont="1" applyFill="1" applyBorder="1"/>
    <xf numFmtId="4" fontId="58" fillId="9" borderId="1" xfId="1" applyNumberFormat="1" applyFont="1" applyFill="1" applyBorder="1"/>
    <xf numFmtId="3" fontId="58" fillId="25" borderId="1" xfId="1" applyNumberFormat="1" applyFont="1" applyFill="1" applyBorder="1"/>
    <xf numFmtId="4" fontId="31" fillId="25" borderId="1" xfId="0" applyNumberFormat="1" applyFont="1" applyFill="1" applyBorder="1"/>
    <xf numFmtId="4" fontId="118" fillId="9" borderId="1" xfId="1" applyNumberFormat="1" applyFont="1" applyFill="1" applyBorder="1"/>
    <xf numFmtId="43" fontId="0" fillId="2" borderId="0" xfId="0" applyNumberFormat="1" applyFill="1"/>
    <xf numFmtId="4" fontId="119" fillId="2" borderId="0" xfId="0" applyNumberFormat="1" applyFont="1" applyFill="1"/>
    <xf numFmtId="0" fontId="119" fillId="2" borderId="0" xfId="0" applyFont="1" applyFill="1"/>
    <xf numFmtId="4" fontId="31" fillId="25" borderId="0" xfId="0" applyNumberFormat="1" applyFont="1" applyFill="1"/>
    <xf numFmtId="4" fontId="0" fillId="25" borderId="0" xfId="0" applyNumberFormat="1" applyFill="1"/>
    <xf numFmtId="4" fontId="32" fillId="2" borderId="1" xfId="1" applyNumberFormat="1" applyFont="1" applyFill="1" applyBorder="1"/>
    <xf numFmtId="1" fontId="32" fillId="2" borderId="1" xfId="1" applyNumberFormat="1" applyFont="1" applyFill="1" applyBorder="1"/>
    <xf numFmtId="4" fontId="120" fillId="9" borderId="1" xfId="1" applyNumberFormat="1" applyFont="1" applyFill="1" applyBorder="1" applyAlignment="1">
      <alignment horizontal="right"/>
    </xf>
    <xf numFmtId="4" fontId="58" fillId="2" borderId="0" xfId="1" applyNumberFormat="1" applyFont="1" applyFill="1"/>
    <xf numFmtId="4" fontId="31" fillId="2" borderId="0" xfId="4" applyNumberFormat="1" applyFont="1" applyFill="1" applyAlignment="1">
      <alignment horizontal="right"/>
    </xf>
    <xf numFmtId="4" fontId="32" fillId="9" borderId="1" xfId="1" applyNumberFormat="1" applyFont="1" applyFill="1" applyBorder="1"/>
    <xf numFmtId="4" fontId="58" fillId="25" borderId="1" xfId="0" applyNumberFormat="1" applyFont="1" applyFill="1" applyBorder="1"/>
    <xf numFmtId="4" fontId="57" fillId="2" borderId="1" xfId="1" applyNumberFormat="1" applyFont="1" applyFill="1" applyBorder="1"/>
    <xf numFmtId="1" fontId="57" fillId="2" borderId="1" xfId="1" applyNumberFormat="1" applyFont="1" applyFill="1" applyBorder="1"/>
    <xf numFmtId="4" fontId="57" fillId="9" borderId="1" xfId="1" applyNumberFormat="1" applyFont="1" applyFill="1" applyBorder="1"/>
    <xf numFmtId="4" fontId="31" fillId="2" borderId="5" xfId="4" applyNumberFormat="1" applyFont="1" applyFill="1" applyBorder="1" applyAlignment="1">
      <alignment horizontal="right"/>
    </xf>
    <xf numFmtId="0" fontId="58" fillId="2" borderId="5" xfId="0" applyFont="1" applyFill="1" applyBorder="1" applyAlignment="1">
      <alignment horizontal="center"/>
    </xf>
    <xf numFmtId="49" fontId="19" fillId="2" borderId="5" xfId="0" applyNumberFormat="1" applyFont="1" applyFill="1" applyBorder="1" applyAlignment="1">
      <alignment horizontal="left" wrapText="1"/>
    </xf>
    <xf numFmtId="4" fontId="58" fillId="2" borderId="5" xfId="1" applyNumberFormat="1" applyFont="1" applyFill="1" applyBorder="1"/>
    <xf numFmtId="4" fontId="19" fillId="2" borderId="1" xfId="0" applyNumberFormat="1" applyFont="1" applyFill="1" applyBorder="1" applyAlignment="1">
      <alignment horizontal="left"/>
    </xf>
    <xf numFmtId="4" fontId="34" fillId="2" borderId="1" xfId="0" applyNumberFormat="1" applyFont="1" applyFill="1" applyBorder="1"/>
    <xf numFmtId="1" fontId="34" fillId="2" borderId="1" xfId="0" applyNumberFormat="1" applyFont="1" applyFill="1" applyBorder="1"/>
    <xf numFmtId="1" fontId="36" fillId="2" borderId="1" xfId="0" applyNumberFormat="1" applyFont="1" applyFill="1" applyBorder="1"/>
    <xf numFmtId="1" fontId="19" fillId="2" borderId="1" xfId="0" applyNumberFormat="1" applyFont="1" applyFill="1" applyBorder="1"/>
    <xf numFmtId="1" fontId="19" fillId="2" borderId="0" xfId="0" applyNumberFormat="1" applyFont="1" applyFill="1"/>
    <xf numFmtId="4" fontId="34" fillId="9" borderId="1" xfId="0" applyNumberFormat="1" applyFont="1" applyFill="1" applyBorder="1"/>
    <xf numFmtId="4" fontId="36" fillId="30" borderId="1" xfId="0" applyNumberFormat="1" applyFont="1" applyFill="1" applyBorder="1"/>
    <xf numFmtId="43" fontId="19" fillId="2" borderId="1" xfId="0" applyNumberFormat="1" applyFont="1" applyFill="1" applyBorder="1"/>
    <xf numFmtId="4" fontId="19" fillId="2" borderId="0" xfId="0" applyNumberFormat="1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1" fillId="29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16" fontId="81" fillId="0" borderId="1" xfId="0" quotePrefix="1" applyNumberFormat="1" applyFont="1" applyBorder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12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57" fillId="2" borderId="0" xfId="0" applyFont="1" applyFill="1" applyAlignment="1">
      <alignment horizontal="center"/>
    </xf>
    <xf numFmtId="1" fontId="57" fillId="2" borderId="0" xfId="0" applyNumberFormat="1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1" fontId="57" fillId="2" borderId="0" xfId="0" applyNumberFormat="1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49" fontId="116" fillId="32" borderId="20" xfId="0" applyNumberFormat="1" applyFont="1" applyFill="1" applyBorder="1" applyAlignment="1">
      <alignment horizontal="center"/>
    </xf>
    <xf numFmtId="0" fontId="116" fillId="32" borderId="21" xfId="0" applyFont="1" applyFill="1" applyBorder="1" applyAlignment="1">
      <alignment horizontal="center"/>
    </xf>
    <xf numFmtId="0" fontId="116" fillId="32" borderId="30" xfId="0" applyFont="1" applyFill="1" applyBorder="1" applyAlignment="1">
      <alignment horizontal="center"/>
    </xf>
    <xf numFmtId="49" fontId="114" fillId="31" borderId="19" xfId="0" applyNumberFormat="1" applyFont="1" applyFill="1" applyBorder="1" applyAlignment="1">
      <alignment horizontal="center" vertical="top" wrapText="1"/>
    </xf>
    <xf numFmtId="167" fontId="114" fillId="31" borderId="19" xfId="0" applyNumberFormat="1" applyFont="1" applyFill="1" applyBorder="1" applyAlignment="1">
      <alignment horizontal="center" vertical="top" wrapText="1"/>
    </xf>
    <xf numFmtId="49" fontId="114" fillId="32" borderId="19" xfId="0" applyNumberFormat="1" applyFont="1" applyFill="1" applyBorder="1" applyAlignment="1">
      <alignment horizontal="center" vertical="center" wrapText="1"/>
    </xf>
    <xf numFmtId="167" fontId="114" fillId="32" borderId="19" xfId="0" applyNumberFormat="1" applyFont="1" applyFill="1" applyBorder="1" applyAlignment="1">
      <alignment horizontal="center" vertical="center" wrapText="1"/>
    </xf>
    <xf numFmtId="49" fontId="114" fillId="31" borderId="29" xfId="0" applyNumberFormat="1" applyFont="1" applyFill="1" applyBorder="1" applyAlignment="1">
      <alignment horizontal="center" wrapText="1"/>
    </xf>
    <xf numFmtId="167" fontId="114" fillId="31" borderId="31" xfId="0" applyNumberFormat="1" applyFont="1" applyFill="1" applyBorder="1" applyAlignment="1">
      <alignment horizontal="center" wrapText="1"/>
    </xf>
    <xf numFmtId="49" fontId="116" fillId="31" borderId="29" xfId="0" applyNumberFormat="1" applyFont="1" applyFill="1" applyBorder="1" applyAlignment="1">
      <alignment horizontal="center" wrapText="1"/>
    </xf>
    <xf numFmtId="167" fontId="116" fillId="31" borderId="32" xfId="0" applyNumberFormat="1" applyFont="1" applyFill="1" applyBorder="1" applyAlignment="1">
      <alignment horizontal="center" wrapText="1"/>
    </xf>
    <xf numFmtId="167" fontId="116" fillId="31" borderId="31" xfId="0" applyNumberFormat="1" applyFont="1" applyFill="1" applyBorder="1" applyAlignment="1">
      <alignment horizontal="center" wrapText="1"/>
    </xf>
    <xf numFmtId="49" fontId="114" fillId="31" borderId="19" xfId="0" applyNumberFormat="1" applyFont="1" applyFill="1" applyBorder="1" applyAlignment="1">
      <alignment horizontal="center" wrapText="1"/>
    </xf>
    <xf numFmtId="167" fontId="114" fillId="31" borderId="19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horizontal="left"/>
    </xf>
    <xf numFmtId="0" fontId="110" fillId="0" borderId="0" xfId="0" applyFont="1" applyAlignment="1">
      <alignment horizontal="center"/>
    </xf>
    <xf numFmtId="0" fontId="13" fillId="2" borderId="1" xfId="0" applyFont="1" applyFill="1" applyBorder="1"/>
    <xf numFmtId="0" fontId="13" fillId="9" borderId="1" xfId="0" applyFont="1" applyFill="1" applyBorder="1"/>
    <xf numFmtId="0" fontId="24" fillId="0" borderId="1" xfId="0" applyFont="1" applyBorder="1" applyAlignment="1">
      <alignment horizontal="center"/>
    </xf>
    <xf numFmtId="0" fontId="97" fillId="2" borderId="0" xfId="0" applyFont="1" applyFill="1" applyBorder="1" applyAlignment="1"/>
    <xf numFmtId="0" fontId="108" fillId="0" borderId="1" xfId="0" applyFont="1" applyFill="1" applyBorder="1" applyAlignment="1">
      <alignment horizontal="center"/>
    </xf>
    <xf numFmtId="17" fontId="108" fillId="0" borderId="1" xfId="0" applyNumberFormat="1" applyFont="1" applyFill="1" applyBorder="1" applyAlignment="1">
      <alignment horizontal="center" wrapText="1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externalLink" Target="externalLinks/externalLink4.xml"/><Relationship Id="rId139" Type="http://schemas.openxmlformats.org/officeDocument/2006/relationships/externalLink" Target="externalLinks/externalLink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20.xml"/><Relationship Id="rId155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10.xml"/><Relationship Id="rId145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externalLink" Target="externalLinks/externalLink5.xml"/><Relationship Id="rId151" Type="http://schemas.openxmlformats.org/officeDocument/2006/relationships/externalLink" Target="externalLinks/externalLink2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externalLink" Target="externalLinks/externalLink11.xml"/><Relationship Id="rId146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1.xml"/><Relationship Id="rId136" Type="http://schemas.openxmlformats.org/officeDocument/2006/relationships/externalLink" Target="externalLinks/externalLink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externalLink" Target="externalLinks/externalLink1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2.xml"/><Relationship Id="rId153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externalLink" Target="externalLinks/externalLink13.xml"/><Relationship Id="rId148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3.xml"/><Relationship Id="rId15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externalLink" Target="externalLinks/externalLink1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&amp;%20Peculiar%20Allo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December%202025%20Contract,%20Sabbatical,NYSC%20&amp;%20Consul.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K33">
            <v>92926.5</v>
          </cell>
        </row>
        <row r="34">
          <cell r="J34">
            <v>97920.666666666701</v>
          </cell>
          <cell r="M34">
            <v>102619.5</v>
          </cell>
        </row>
        <row r="36">
          <cell r="I36">
            <v>162898.41666666701</v>
          </cell>
          <cell r="J36">
            <v>166508.33333333299</v>
          </cell>
          <cell r="K36">
            <v>170118.25</v>
          </cell>
        </row>
        <row r="37">
          <cell r="L37">
            <v>204734.41666666701</v>
          </cell>
          <cell r="O37">
            <v>217289.25</v>
          </cell>
        </row>
        <row r="38">
          <cell r="H38">
            <v>212792.16666666701</v>
          </cell>
          <cell r="K38">
            <v>227615.75</v>
          </cell>
        </row>
        <row r="39">
          <cell r="H39">
            <v>235577.83333333299</v>
          </cell>
          <cell r="K39">
            <v>251467.91666666701</v>
          </cell>
        </row>
        <row r="40">
          <cell r="H40">
            <v>278231.25</v>
          </cell>
          <cell r="L40">
            <v>311094.41666666698</v>
          </cell>
        </row>
        <row r="41">
          <cell r="H41">
            <v>302987.41666666698</v>
          </cell>
          <cell r="J41">
            <v>320359.08333333302</v>
          </cell>
          <cell r="L41">
            <v>337730.83333333302</v>
          </cell>
        </row>
        <row r="42">
          <cell r="I42">
            <v>338365.25</v>
          </cell>
          <cell r="L42">
            <v>366417.5</v>
          </cell>
        </row>
      </sheetData>
      <sheetData sheetId="2">
        <row r="36">
          <cell r="I36">
            <v>80802</v>
          </cell>
        </row>
        <row r="37">
          <cell r="L37">
            <v>111196.16666666701</v>
          </cell>
          <cell r="O37">
            <v>119670.91666666701</v>
          </cell>
        </row>
        <row r="38">
          <cell r="K38">
            <v>127704.91666666701</v>
          </cell>
        </row>
        <row r="39">
          <cell r="K39">
            <v>147663.25</v>
          </cell>
        </row>
        <row r="40">
          <cell r="H40">
            <v>162927.75</v>
          </cell>
          <cell r="L40">
            <v>185402.75</v>
          </cell>
        </row>
        <row r="41">
          <cell r="H41">
            <v>179859.16666666701</v>
          </cell>
          <cell r="J41">
            <v>191739.83333333299</v>
          </cell>
          <cell r="L41">
            <v>203620.5</v>
          </cell>
        </row>
        <row r="42">
          <cell r="I42">
            <v>204054.25</v>
          </cell>
          <cell r="L42">
            <v>223239.5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3">
          <cell r="D93">
            <v>4250400</v>
          </cell>
        </row>
      </sheetData>
      <sheetData sheetId="5">
        <row r="20">
          <cell r="D20">
            <v>1296000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53"/>
  <sheetViews>
    <sheetView zoomScale="90" zoomScaleNormal="90" zoomScaleSheetLayoutView="50" workbookViewId="0">
      <pane xSplit="3" ySplit="7" topLeftCell="K243" activePane="bottomRight" state="frozen"/>
      <selection pane="topRight"/>
      <selection pane="bottomLeft"/>
      <selection pane="bottomRight" activeCell="B247" sqref="B247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5.42578125" style="1" customWidth="1"/>
    <col min="7" max="7" width="18.28515625" style="1" customWidth="1"/>
    <col min="8" max="8" width="18.140625" style="1" customWidth="1"/>
    <col min="9" max="9" width="16" style="1" customWidth="1"/>
    <col min="10" max="10" width="21.5703125" style="1" customWidth="1"/>
    <col min="11" max="11" width="5.85546875" style="1" customWidth="1"/>
    <col min="12" max="12" width="18.42578125" style="1" customWidth="1"/>
    <col min="13" max="13" width="17.7109375" style="1" customWidth="1"/>
    <col min="14" max="14" width="16.140625" style="1" customWidth="1"/>
    <col min="15" max="16" width="13.28515625" style="1" customWidth="1"/>
    <col min="17" max="17" width="17.5703125" style="1" customWidth="1"/>
    <col min="18" max="18" width="16.7109375" style="1" customWidth="1"/>
    <col min="19" max="19" width="17.5703125" style="1" customWidth="1"/>
    <col min="20" max="20" width="23.140625" style="1" customWidth="1"/>
    <col min="21" max="21" width="24.85546875" style="1" customWidth="1"/>
    <col min="22" max="22" width="12.5703125" style="1" customWidth="1"/>
    <col min="23" max="16383" width="9.140625" style="1"/>
  </cols>
  <sheetData>
    <row r="1" spans="1:21" ht="27" customHeight="1">
      <c r="A1" s="1124" t="s">
        <v>0</v>
      </c>
      <c r="B1" s="1124"/>
      <c r="C1" s="1124"/>
      <c r="D1" s="1124"/>
      <c r="E1" s="1124"/>
      <c r="F1" s="1124"/>
      <c r="G1" s="183"/>
      <c r="H1" s="183"/>
      <c r="I1" s="183"/>
    </row>
    <row r="2" spans="1:21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184" t="s">
        <v>15</v>
      </c>
      <c r="Q4" s="22" t="s">
        <v>16</v>
      </c>
      <c r="R4" s="184" t="s">
        <v>17</v>
      </c>
      <c r="S4" s="463" t="s">
        <v>18</v>
      </c>
      <c r="T4" s="65" t="s">
        <v>19</v>
      </c>
      <c r="U4" s="589" t="s">
        <v>20</v>
      </c>
    </row>
    <row r="5" spans="1:21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464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/>
      <c r="P5" s="67" t="s">
        <v>21</v>
      </c>
      <c r="Q5" s="67" t="s">
        <v>21</v>
      </c>
      <c r="R5" s="67" t="s">
        <v>21</v>
      </c>
      <c r="S5" s="465" t="s">
        <v>21</v>
      </c>
      <c r="T5" s="67" t="s">
        <v>21</v>
      </c>
      <c r="U5" s="464" t="s">
        <v>21</v>
      </c>
    </row>
    <row r="6" spans="1:21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67"/>
      <c r="S6" s="465"/>
      <c r="T6" s="67"/>
      <c r="U6" s="464"/>
    </row>
    <row r="7" spans="1:21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37" si="0">E7+F7+G7+H7+I7</f>
        <v>2246372.0833333302</v>
      </c>
      <c r="K7" s="70"/>
      <c r="L7" s="70"/>
      <c r="M7" s="70"/>
      <c r="N7" s="70"/>
      <c r="O7" s="70"/>
      <c r="P7" s="70">
        <v>0</v>
      </c>
      <c r="Q7" s="70">
        <v>427498.91249999899</v>
      </c>
      <c r="R7" s="70"/>
      <c r="S7" s="467">
        <f>SUM(K7:R7)</f>
        <v>427498.91249999899</v>
      </c>
      <c r="T7" s="70">
        <v>1818873.1708333299</v>
      </c>
      <c r="U7" s="466">
        <f t="shared" ref="U7:U26" si="1">J7-S7</f>
        <v>1818873.1708333299</v>
      </c>
    </row>
    <row r="8" spans="1:21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>
        <v>100000</v>
      </c>
      <c r="O8" s="70"/>
      <c r="P8" s="70"/>
      <c r="Q8" s="70">
        <v>167305.2641</v>
      </c>
      <c r="R8" s="70">
        <v>72424.539999999994</v>
      </c>
      <c r="S8" s="467">
        <f t="shared" ref="S8:S46" si="2">SUM(K8:R8)</f>
        <v>589729.80409999995</v>
      </c>
      <c r="T8" s="70">
        <v>505576.94589999999</v>
      </c>
      <c r="U8" s="466">
        <f t="shared" si="1"/>
        <v>505576.94589999999</v>
      </c>
    </row>
    <row r="9" spans="1:21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0</v>
      </c>
      <c r="Q9" s="70">
        <v>224514.41750000001</v>
      </c>
      <c r="R9" s="70"/>
      <c r="S9" s="467">
        <f t="shared" si="2"/>
        <v>224514.41750000001</v>
      </c>
      <c r="T9" s="70">
        <v>1070792.3325</v>
      </c>
      <c r="U9" s="466">
        <f t="shared" si="1"/>
        <v>1070792.3325</v>
      </c>
    </row>
    <row r="10" spans="1:21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/>
      <c r="N10" s="70"/>
      <c r="O10" s="70"/>
      <c r="P10" s="70">
        <v>13866.737499999999</v>
      </c>
      <c r="Q10" s="70">
        <v>162322.78505000001</v>
      </c>
      <c r="R10" s="70">
        <v>72424.539999999994</v>
      </c>
      <c r="S10" s="467">
        <f t="shared" si="2"/>
        <v>298614.06254999997</v>
      </c>
      <c r="T10" s="70">
        <v>786692.68744999997</v>
      </c>
      <c r="U10" s="466">
        <f t="shared" si="1"/>
        <v>786692.68744999997</v>
      </c>
    </row>
    <row r="11" spans="1:21" ht="20.100000000000001" customHeight="1">
      <c r="A11" s="8">
        <v>5</v>
      </c>
      <c r="B11" s="9" t="s">
        <v>34</v>
      </c>
      <c r="C11" s="10" t="s">
        <v>35</v>
      </c>
      <c r="D11" s="13" t="s">
        <v>36</v>
      </c>
      <c r="E11" s="70">
        <v>905306.75</v>
      </c>
      <c r="F11" s="70"/>
      <c r="G11" s="186"/>
      <c r="H11" s="186">
        <f>90000</f>
        <v>90000</v>
      </c>
      <c r="I11" s="70">
        <v>50000</v>
      </c>
      <c r="J11" s="466">
        <f t="shared" si="0"/>
        <v>1045306.75</v>
      </c>
      <c r="K11" s="70"/>
      <c r="L11" s="70">
        <f>50000-40000</f>
        <v>10000</v>
      </c>
      <c r="M11" s="70">
        <f>90000+110000</f>
        <v>200000</v>
      </c>
      <c r="N11" s="70"/>
      <c r="O11" s="70"/>
      <c r="P11" s="70">
        <v>13866.737499999999</v>
      </c>
      <c r="Q11" s="70">
        <v>155122.78505000001</v>
      </c>
      <c r="R11" s="70">
        <v>72424.539999999994</v>
      </c>
      <c r="S11" s="467">
        <f t="shared" si="2"/>
        <v>451414.06254999997</v>
      </c>
      <c r="T11" s="70">
        <v>593892.68744999997</v>
      </c>
      <c r="U11" s="466">
        <f t="shared" si="1"/>
        <v>593892.68744999997</v>
      </c>
    </row>
    <row r="12" spans="1:21" ht="20.100000000000001" customHeight="1">
      <c r="A12" s="8">
        <v>6</v>
      </c>
      <c r="B12" s="9" t="s">
        <v>37</v>
      </c>
      <c r="C12" s="2" t="s">
        <v>38</v>
      </c>
      <c r="D12" s="8" t="s">
        <v>39</v>
      </c>
      <c r="E12" s="70">
        <v>744477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1104477</v>
      </c>
      <c r="K12" s="70"/>
      <c r="L12" s="70"/>
      <c r="M12" s="70"/>
      <c r="N12" s="70"/>
      <c r="O12" s="70"/>
      <c r="P12" s="70">
        <v>11475.262500000001</v>
      </c>
      <c r="Q12" s="70">
        <v>169523.15127500001</v>
      </c>
      <c r="R12" s="70">
        <v>59558.16</v>
      </c>
      <c r="S12" s="467">
        <f t="shared" si="2"/>
        <v>240556.573775</v>
      </c>
      <c r="T12" s="70">
        <v>863920.42622499994</v>
      </c>
      <c r="U12" s="466">
        <f t="shared" si="1"/>
        <v>863920.42622499994</v>
      </c>
    </row>
    <row r="13" spans="1:21" ht="20.100000000000001" customHeight="1">
      <c r="A13" s="8">
        <v>7</v>
      </c>
      <c r="B13" s="9" t="s">
        <v>40</v>
      </c>
      <c r="C13" s="2" t="s">
        <v>41</v>
      </c>
      <c r="D13" s="13" t="s">
        <v>42</v>
      </c>
      <c r="E13" s="70">
        <v>700713.91666666605</v>
      </c>
      <c r="F13" s="70"/>
      <c r="G13" s="186"/>
      <c r="H13" s="186">
        <f>80000</f>
        <v>80000</v>
      </c>
      <c r="I13" s="70">
        <f>0</f>
        <v>0</v>
      </c>
      <c r="J13" s="466">
        <f t="shared" si="0"/>
        <v>780713.91666666605</v>
      </c>
      <c r="K13" s="70"/>
      <c r="L13" s="70"/>
      <c r="M13" s="70"/>
      <c r="N13" s="70"/>
      <c r="O13" s="70"/>
      <c r="P13" s="70"/>
      <c r="Q13" s="70">
        <v>112938.2246</v>
      </c>
      <c r="R13" s="70">
        <v>56057.113333333298</v>
      </c>
      <c r="S13" s="467">
        <f t="shared" si="2"/>
        <v>168995.33793333301</v>
      </c>
      <c r="T13" s="70">
        <v>611718.57873333304</v>
      </c>
      <c r="U13" s="466">
        <f t="shared" si="1"/>
        <v>611718.57873333304</v>
      </c>
    </row>
    <row r="14" spans="1:21" ht="20.100000000000001" customHeight="1">
      <c r="A14" s="8">
        <v>8</v>
      </c>
      <c r="B14" s="12" t="s">
        <v>43</v>
      </c>
      <c r="C14" s="15" t="s">
        <v>44</v>
      </c>
      <c r="D14" s="13" t="s">
        <v>39</v>
      </c>
      <c r="E14" s="70">
        <v>744477</v>
      </c>
      <c r="F14" s="70"/>
      <c r="G14" s="186">
        <v>160000</v>
      </c>
      <c r="H14" s="186"/>
      <c r="I14" s="70">
        <f>50000</f>
        <v>50000</v>
      </c>
      <c r="J14" s="466">
        <f t="shared" si="0"/>
        <v>954477</v>
      </c>
      <c r="K14" s="70"/>
      <c r="L14" s="70">
        <f>50000</f>
        <v>50000</v>
      </c>
      <c r="M14" s="70"/>
      <c r="N14" s="70"/>
      <c r="O14" s="70"/>
      <c r="P14" s="70"/>
      <c r="Q14" s="70">
        <v>143585.39120000001</v>
      </c>
      <c r="R14" s="70">
        <v>59558.16</v>
      </c>
      <c r="S14" s="467">
        <f t="shared" si="2"/>
        <v>253143.55119999999</v>
      </c>
      <c r="T14" s="70">
        <v>701333.44880000001</v>
      </c>
      <c r="U14" s="466">
        <f t="shared" si="1"/>
        <v>701333.44880000001</v>
      </c>
    </row>
    <row r="15" spans="1:21" ht="20.100000000000001" customHeight="1">
      <c r="A15" s="8">
        <v>9</v>
      </c>
      <c r="B15" s="9" t="s">
        <v>45</v>
      </c>
      <c r="C15" s="2" t="s">
        <v>46</v>
      </c>
      <c r="D15" s="8" t="s">
        <v>47</v>
      </c>
      <c r="E15" s="70">
        <v>573911.08333333395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963911.08333333395</v>
      </c>
      <c r="K15" s="70"/>
      <c r="L15" s="70">
        <v>150000</v>
      </c>
      <c r="M15" s="70">
        <v>0</v>
      </c>
      <c r="N15" s="70"/>
      <c r="O15" s="70"/>
      <c r="P15" s="70">
        <v>8926.6666666666806</v>
      </c>
      <c r="Q15" s="70">
        <v>146132.87539999999</v>
      </c>
      <c r="R15" s="70">
        <v>45912.886666666702</v>
      </c>
      <c r="S15" s="467">
        <f t="shared" si="2"/>
        <v>350972.42873333301</v>
      </c>
      <c r="T15" s="70">
        <v>612938.65460000106</v>
      </c>
      <c r="U15" s="466">
        <f t="shared" si="1"/>
        <v>612938.65460000106</v>
      </c>
    </row>
    <row r="16" spans="1:21" ht="20.100000000000001" customHeight="1">
      <c r="A16" s="8">
        <v>10</v>
      </c>
      <c r="B16" s="9" t="s">
        <v>48</v>
      </c>
      <c r="C16" s="2" t="s">
        <v>49</v>
      </c>
      <c r="D16" s="8" t="s">
        <v>50</v>
      </c>
      <c r="E16" s="70">
        <v>722595.5</v>
      </c>
      <c r="F16" s="70"/>
      <c r="G16" s="186"/>
      <c r="H16" s="186">
        <v>80000</v>
      </c>
      <c r="I16" s="70">
        <v>50000</v>
      </c>
      <c r="J16" s="466">
        <f t="shared" si="0"/>
        <v>852595.5</v>
      </c>
      <c r="K16" s="2"/>
      <c r="L16" s="2"/>
      <c r="M16" s="70"/>
      <c r="N16" s="70">
        <v>10000</v>
      </c>
      <c r="O16" s="70">
        <v>57818.75</v>
      </c>
      <c r="P16" s="70"/>
      <c r="Q16" s="70">
        <v>125561.81479999999</v>
      </c>
      <c r="R16" s="70">
        <v>57807.64</v>
      </c>
      <c r="S16" s="467">
        <f t="shared" si="2"/>
        <v>251188.20480000001</v>
      </c>
      <c r="T16" s="70">
        <v>659226.04520000005</v>
      </c>
      <c r="U16" s="466">
        <f t="shared" si="1"/>
        <v>601407.29520000005</v>
      </c>
    </row>
    <row r="17" spans="1:21" ht="20.100000000000001" customHeight="1">
      <c r="A17" s="8">
        <v>11</v>
      </c>
      <c r="B17" s="9" t="s">
        <v>51</v>
      </c>
      <c r="C17" s="10" t="s">
        <v>52</v>
      </c>
      <c r="D17" s="8" t="s">
        <v>53</v>
      </c>
      <c r="E17" s="70">
        <v>542419.5</v>
      </c>
      <c r="F17" s="70"/>
      <c r="G17" s="186">
        <f>140000</f>
        <v>140000</v>
      </c>
      <c r="H17" s="186"/>
      <c r="I17" s="70">
        <v>0</v>
      </c>
      <c r="J17" s="466">
        <f t="shared" si="0"/>
        <v>682419.5</v>
      </c>
      <c r="K17" s="70"/>
      <c r="L17" s="70"/>
      <c r="M17" s="70"/>
      <c r="N17" s="70"/>
      <c r="O17" s="70"/>
      <c r="P17" s="70"/>
      <c r="Q17" s="70">
        <v>97524.669200000004</v>
      </c>
      <c r="R17" s="70">
        <v>43393.56</v>
      </c>
      <c r="S17" s="467">
        <f t="shared" si="2"/>
        <v>140918.2292</v>
      </c>
      <c r="T17" s="70">
        <v>541501.27080000006</v>
      </c>
      <c r="U17" s="466">
        <f t="shared" si="1"/>
        <v>541501.27080000006</v>
      </c>
    </row>
    <row r="18" spans="1:21" ht="20.100000000000001" customHeight="1">
      <c r="A18" s="8">
        <v>12</v>
      </c>
      <c r="B18" s="16" t="s">
        <v>54</v>
      </c>
      <c r="C18" s="2" t="s">
        <v>55</v>
      </c>
      <c r="D18" s="13" t="s">
        <v>56</v>
      </c>
      <c r="E18" s="70">
        <v>541351.33333333302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861351.33333333302</v>
      </c>
      <c r="K18" s="70"/>
      <c r="L18" s="70">
        <f>30000-20000</f>
        <v>10000</v>
      </c>
      <c r="M18" s="70">
        <f>127777.78</f>
        <v>127777.78</v>
      </c>
      <c r="N18" s="70"/>
      <c r="O18" s="70"/>
      <c r="P18" s="70">
        <v>8443.2708333333303</v>
      </c>
      <c r="Q18" s="70">
        <v>128227.99205</v>
      </c>
      <c r="R18" s="70">
        <v>43308.106666666703</v>
      </c>
      <c r="S18" s="467">
        <f t="shared" si="2"/>
        <v>317757.14954999997</v>
      </c>
      <c r="T18" s="70">
        <v>543594.18378333305</v>
      </c>
      <c r="U18" s="466">
        <f t="shared" si="1"/>
        <v>543594.18378333305</v>
      </c>
    </row>
    <row r="19" spans="1:21" ht="20.100000000000001" customHeight="1">
      <c r="A19" s="8">
        <v>13</v>
      </c>
      <c r="B19" s="16" t="s">
        <v>57</v>
      </c>
      <c r="C19" s="2" t="s">
        <v>58</v>
      </c>
      <c r="D19" s="13" t="s">
        <v>59</v>
      </c>
      <c r="E19" s="630">
        <v>512098.91666666698</v>
      </c>
      <c r="F19" s="70"/>
      <c r="G19" s="2"/>
      <c r="H19" s="186">
        <v>70000</v>
      </c>
      <c r="I19" s="70"/>
      <c r="J19" s="466">
        <f t="shared" si="0"/>
        <v>582098.91666666698</v>
      </c>
      <c r="K19" s="70"/>
      <c r="L19" s="638">
        <v>50000</v>
      </c>
      <c r="M19" s="638">
        <v>250000</v>
      </c>
      <c r="N19" s="638"/>
      <c r="O19" s="780"/>
      <c r="P19" s="780">
        <v>8008.9770833333296</v>
      </c>
      <c r="Q19" s="638">
        <v>78461.964724999998</v>
      </c>
      <c r="R19" s="70">
        <v>40967.913333333301</v>
      </c>
      <c r="S19" s="467">
        <f t="shared" si="2"/>
        <v>427438.85514166701</v>
      </c>
      <c r="T19" s="70">
        <v>154660.061525</v>
      </c>
      <c r="U19" s="466">
        <f t="shared" si="1"/>
        <v>154660.061525</v>
      </c>
    </row>
    <row r="20" spans="1:21" ht="20.100000000000001" customHeight="1">
      <c r="A20" s="8">
        <v>14</v>
      </c>
      <c r="B20" s="16" t="s">
        <v>60</v>
      </c>
      <c r="C20" s="2" t="s">
        <v>61</v>
      </c>
      <c r="D20" s="13" t="s">
        <v>59</v>
      </c>
      <c r="E20" s="630">
        <v>512098.91666666698</v>
      </c>
      <c r="F20" s="70"/>
      <c r="G20" s="780">
        <v>120000</v>
      </c>
      <c r="H20" s="186"/>
      <c r="I20" s="70"/>
      <c r="J20" s="466">
        <f t="shared" si="0"/>
        <v>632098.91666666698</v>
      </c>
      <c r="K20" s="70"/>
      <c r="L20" s="638"/>
      <c r="M20" s="638"/>
      <c r="N20" s="638"/>
      <c r="O20" s="2"/>
      <c r="P20" s="2"/>
      <c r="Q20" s="638">
        <v>88903.580600000001</v>
      </c>
      <c r="R20" s="70">
        <v>40967.913333333301</v>
      </c>
      <c r="S20" s="467">
        <f t="shared" si="2"/>
        <v>129871.493933333</v>
      </c>
      <c r="T20" s="70">
        <v>502227.42273333401</v>
      </c>
      <c r="U20" s="466">
        <f t="shared" si="1"/>
        <v>502227.42273333401</v>
      </c>
    </row>
    <row r="21" spans="1:21" ht="20.100000000000001" customHeight="1">
      <c r="A21" s="8">
        <v>15</v>
      </c>
      <c r="B21" s="9" t="s">
        <v>62</v>
      </c>
      <c r="C21" s="10" t="s">
        <v>63</v>
      </c>
      <c r="D21" s="13" t="s">
        <v>64</v>
      </c>
      <c r="E21" s="70">
        <v>497472.75</v>
      </c>
      <c r="F21" s="70"/>
      <c r="G21" s="186"/>
      <c r="H21" s="186">
        <f>70000</f>
        <v>70000</v>
      </c>
      <c r="I21" s="70">
        <f>250000</f>
        <v>250000</v>
      </c>
      <c r="J21" s="466">
        <f t="shared" si="0"/>
        <v>817472.75</v>
      </c>
      <c r="K21" s="70"/>
      <c r="L21" s="70">
        <v>20000</v>
      </c>
      <c r="M21" s="70">
        <f>68750</f>
        <v>68750</v>
      </c>
      <c r="N21" s="70"/>
      <c r="O21" s="70"/>
      <c r="P21" s="70">
        <v>7791.8312500000002</v>
      </c>
      <c r="Q21" s="70">
        <v>121078.957775</v>
      </c>
      <c r="R21" s="70">
        <v>39797.82</v>
      </c>
      <c r="S21" s="467">
        <f t="shared" si="2"/>
        <v>257418.60902500001</v>
      </c>
      <c r="T21" s="70">
        <v>560054.14097499999</v>
      </c>
      <c r="U21" s="466">
        <f t="shared" si="1"/>
        <v>560054.14097499999</v>
      </c>
    </row>
    <row r="22" spans="1:21" ht="18.75" customHeight="1">
      <c r="A22" s="8">
        <v>16</v>
      </c>
      <c r="B22" s="9" t="s">
        <v>65</v>
      </c>
      <c r="C22" s="2" t="s">
        <v>66</v>
      </c>
      <c r="D22" s="13" t="s">
        <v>67</v>
      </c>
      <c r="E22" s="70">
        <v>482846.58333333302</v>
      </c>
      <c r="F22" s="70"/>
      <c r="G22" s="186"/>
      <c r="H22" s="186">
        <f>70000</f>
        <v>70000</v>
      </c>
      <c r="I22" s="70">
        <f>100000+50000</f>
        <v>150000</v>
      </c>
      <c r="J22" s="466">
        <f t="shared" si="0"/>
        <v>702846.58333333302</v>
      </c>
      <c r="K22" s="70"/>
      <c r="L22" s="70">
        <f>10000</f>
        <v>10000</v>
      </c>
      <c r="M22" s="70">
        <v>292813.77</v>
      </c>
      <c r="N22" s="70"/>
      <c r="O22" s="70"/>
      <c r="P22" s="70">
        <v>7574.6854166666699</v>
      </c>
      <c r="Q22" s="70">
        <v>100695.95082500001</v>
      </c>
      <c r="R22" s="70">
        <v>38627.726666666596</v>
      </c>
      <c r="S22" s="467">
        <f t="shared" si="2"/>
        <v>449712.13290833298</v>
      </c>
      <c r="T22" s="70">
        <v>253134.45042499999</v>
      </c>
      <c r="U22" s="466">
        <f t="shared" si="1"/>
        <v>253134.45042499999</v>
      </c>
    </row>
    <row r="23" spans="1:21" ht="20.100000000000001" customHeight="1">
      <c r="A23" s="8">
        <v>17</v>
      </c>
      <c r="B23" s="12" t="s">
        <v>68</v>
      </c>
      <c r="C23" s="15" t="s">
        <v>69</v>
      </c>
      <c r="D23" s="8" t="s">
        <v>70</v>
      </c>
      <c r="E23" s="70">
        <v>468828.16666666698</v>
      </c>
      <c r="F23" s="70"/>
      <c r="G23" s="186">
        <f t="shared" ref="G23" si="3">100000</f>
        <v>100000</v>
      </c>
      <c r="H23" s="186"/>
      <c r="I23" s="70">
        <f>100000+100000</f>
        <v>200000</v>
      </c>
      <c r="J23" s="466">
        <f t="shared" si="0"/>
        <v>768828.16666666698</v>
      </c>
      <c r="K23" s="70"/>
      <c r="L23" s="70">
        <f>50000+100000</f>
        <v>150000</v>
      </c>
      <c r="M23" s="70"/>
      <c r="N23" s="70"/>
      <c r="O23" s="70"/>
      <c r="P23" s="70"/>
      <c r="Q23" s="70">
        <v>114137.94439999999</v>
      </c>
      <c r="R23" s="70">
        <v>37506.253333333399</v>
      </c>
      <c r="S23" s="467">
        <f t="shared" si="2"/>
        <v>301644.19773333299</v>
      </c>
      <c r="T23" s="70">
        <v>467183.96893333399</v>
      </c>
      <c r="U23" s="466">
        <f t="shared" si="1"/>
        <v>467183.96893333399</v>
      </c>
    </row>
    <row r="24" spans="1:21" ht="21.6" customHeight="1">
      <c r="A24" s="8">
        <v>18</v>
      </c>
      <c r="B24" s="9" t="s">
        <v>71</v>
      </c>
      <c r="C24" s="15" t="s">
        <v>72</v>
      </c>
      <c r="D24" s="13" t="s">
        <v>70</v>
      </c>
      <c r="E24" s="70">
        <v>468828.16666666698</v>
      </c>
      <c r="F24" s="70">
        <v>3000</v>
      </c>
      <c r="G24" s="186">
        <v>110000</v>
      </c>
      <c r="H24" s="186"/>
      <c r="I24" s="70">
        <v>0</v>
      </c>
      <c r="J24" s="466">
        <f t="shared" si="0"/>
        <v>581828.16666666698</v>
      </c>
      <c r="K24" s="70"/>
      <c r="L24" s="70">
        <v>0</v>
      </c>
      <c r="M24" s="70"/>
      <c r="N24" s="70">
        <v>30000</v>
      </c>
      <c r="O24" s="70"/>
      <c r="P24" s="70">
        <v>7366.5729166666797</v>
      </c>
      <c r="Q24" s="70">
        <v>75611.961274999994</v>
      </c>
      <c r="R24" s="70">
        <v>37506.253333333399</v>
      </c>
      <c r="S24" s="467">
        <f t="shared" si="2"/>
        <v>150484.78752499999</v>
      </c>
      <c r="T24" s="70">
        <v>425343.37914166698</v>
      </c>
      <c r="U24" s="466">
        <f t="shared" si="1"/>
        <v>431343.37914166698</v>
      </c>
    </row>
    <row r="25" spans="1:21" ht="20.100000000000001" customHeight="1">
      <c r="A25" s="8">
        <v>19</v>
      </c>
      <c r="B25" s="12" t="s">
        <v>73</v>
      </c>
      <c r="C25" s="15" t="s">
        <v>74</v>
      </c>
      <c r="D25" s="8" t="s">
        <v>75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0"/>
        <v>641140.66666666605</v>
      </c>
      <c r="K25" s="70"/>
      <c r="L25" s="70">
        <v>150000</v>
      </c>
      <c r="M25" s="70"/>
      <c r="N25" s="70"/>
      <c r="O25" s="70"/>
      <c r="P25" s="70"/>
      <c r="Q25" s="70">
        <v>92416.894399999903</v>
      </c>
      <c r="R25" s="70">
        <v>30491.253333333301</v>
      </c>
      <c r="S25" s="467">
        <f t="shared" si="2"/>
        <v>272908.147733333</v>
      </c>
      <c r="T25" s="70">
        <v>368232.51893333299</v>
      </c>
      <c r="U25" s="466">
        <f t="shared" si="1"/>
        <v>368232.51893333299</v>
      </c>
    </row>
    <row r="26" spans="1:21" ht="20.100000000000001" customHeight="1">
      <c r="A26" s="8">
        <v>20</v>
      </c>
      <c r="B26" s="12" t="s">
        <v>76</v>
      </c>
      <c r="C26" s="15" t="s">
        <v>77</v>
      </c>
      <c r="D26" s="8" t="s">
        <v>78</v>
      </c>
      <c r="E26" s="70">
        <v>390135.83333333401</v>
      </c>
      <c r="F26" s="70"/>
      <c r="G26" s="186"/>
      <c r="H26" s="186">
        <v>60000</v>
      </c>
      <c r="I26" s="70"/>
      <c r="J26" s="466">
        <f t="shared" si="0"/>
        <v>450135.83333333401</v>
      </c>
      <c r="K26" s="70"/>
      <c r="L26" s="70">
        <v>50000</v>
      </c>
      <c r="M26" s="70"/>
      <c r="N26" s="1105">
        <v>10000</v>
      </c>
      <c r="O26" s="860"/>
      <c r="P26" s="860">
        <v>6154.2791666666799</v>
      </c>
      <c r="Q26" s="70">
        <v>56798.723750000099</v>
      </c>
      <c r="R26" s="70">
        <v>31210.866666666701</v>
      </c>
      <c r="S26" s="467">
        <f t="shared" si="2"/>
        <v>154163.869583333</v>
      </c>
      <c r="T26" s="70">
        <v>295971.96375000098</v>
      </c>
      <c r="U26" s="466">
        <f t="shared" si="1"/>
        <v>295971.96375000098</v>
      </c>
    </row>
    <row r="27" spans="1:21" ht="18.75" customHeight="1">
      <c r="A27" s="8">
        <v>21</v>
      </c>
      <c r="B27" s="16" t="s">
        <v>79</v>
      </c>
      <c r="C27" s="10" t="s">
        <v>80</v>
      </c>
      <c r="D27" s="13" t="s">
        <v>81</v>
      </c>
      <c r="E27" s="70">
        <v>372145.33333333302</v>
      </c>
      <c r="F27" s="70"/>
      <c r="G27" s="186"/>
      <c r="H27" s="186">
        <f>50000+10000</f>
        <v>60000</v>
      </c>
      <c r="I27" s="70"/>
      <c r="J27" s="466">
        <f t="shared" si="0"/>
        <v>432145.33333333302</v>
      </c>
      <c r="K27" s="70"/>
      <c r="L27" s="70"/>
      <c r="M27" s="70"/>
      <c r="N27" s="70"/>
      <c r="O27" s="70"/>
      <c r="P27" s="70">
        <v>5889.4458333333296</v>
      </c>
      <c r="Q27" s="70">
        <v>53867.166949999897</v>
      </c>
      <c r="R27" s="70">
        <v>29771.626666666602</v>
      </c>
      <c r="S27" s="467">
        <f t="shared" si="2"/>
        <v>89528.239449999804</v>
      </c>
      <c r="T27" s="70">
        <v>397802.00054999802</v>
      </c>
      <c r="U27" s="466">
        <f t="shared" ref="U27:U46" si="4">J27-S27</f>
        <v>342617.09388333297</v>
      </c>
    </row>
    <row r="28" spans="1:21" ht="20.100000000000001" customHeight="1">
      <c r="A28" s="8">
        <v>22</v>
      </c>
      <c r="B28" s="9" t="s">
        <v>82</v>
      </c>
      <c r="C28" s="2" t="s">
        <v>83</v>
      </c>
      <c r="D28" s="13" t="s">
        <v>75</v>
      </c>
      <c r="E28" s="70">
        <v>381140.66666666599</v>
      </c>
      <c r="F28" s="70">
        <v>4500</v>
      </c>
      <c r="G28" s="186">
        <f>110000</f>
        <v>110000</v>
      </c>
      <c r="H28" s="186"/>
      <c r="I28" s="70"/>
      <c r="J28" s="466">
        <f t="shared" si="0"/>
        <v>495640.66666666599</v>
      </c>
      <c r="K28" s="70"/>
      <c r="L28" s="70">
        <f>10000</f>
        <v>10000</v>
      </c>
      <c r="M28" s="70">
        <v>127777.78</v>
      </c>
      <c r="N28" s="70"/>
      <c r="O28" s="70"/>
      <c r="P28" s="70">
        <v>6021.8645833333203</v>
      </c>
      <c r="Q28" s="70">
        <v>59832.958774999897</v>
      </c>
      <c r="R28" s="70">
        <v>30491.253333333301</v>
      </c>
      <c r="S28" s="467">
        <f t="shared" si="2"/>
        <v>234123.856691667</v>
      </c>
      <c r="T28" s="70">
        <v>252516.80997499899</v>
      </c>
      <c r="U28" s="466">
        <f t="shared" si="4"/>
        <v>261516.80997499899</v>
      </c>
    </row>
    <row r="29" spans="1:21" ht="18.75" customHeight="1">
      <c r="A29" s="8">
        <v>23</v>
      </c>
      <c r="B29" s="16" t="s">
        <v>84</v>
      </c>
      <c r="C29" s="10" t="s">
        <v>85</v>
      </c>
      <c r="D29" s="13" t="s">
        <v>86</v>
      </c>
      <c r="E29" s="70">
        <v>347016.16666666599</v>
      </c>
      <c r="F29" s="70"/>
      <c r="G29" s="186"/>
      <c r="H29" s="186">
        <f t="shared" ref="H29:H38" si="5">60000</f>
        <v>60000</v>
      </c>
      <c r="I29" s="2"/>
      <c r="J29" s="466">
        <f t="shared" si="0"/>
        <v>407016.16666666599</v>
      </c>
      <c r="K29" s="70"/>
      <c r="L29" s="70">
        <f>20000</f>
        <v>20000</v>
      </c>
      <c r="M29" s="70">
        <f>17500</f>
        <v>17500</v>
      </c>
      <c r="N29" s="70">
        <v>50000</v>
      </c>
      <c r="O29" s="70"/>
      <c r="P29" s="70"/>
      <c r="Q29" s="70">
        <v>50765.877199999901</v>
      </c>
      <c r="R29" s="70">
        <v>27761.293333333299</v>
      </c>
      <c r="S29" s="467">
        <f t="shared" si="2"/>
        <v>166027.170533333</v>
      </c>
      <c r="T29" s="70">
        <v>247253.910933334</v>
      </c>
      <c r="U29" s="466">
        <f t="shared" si="4"/>
        <v>240988.99613333301</v>
      </c>
    </row>
    <row r="30" spans="1:21" ht="18.75" customHeight="1">
      <c r="A30" s="8">
        <v>24</v>
      </c>
      <c r="B30" s="16" t="s">
        <v>87</v>
      </c>
      <c r="C30" s="2" t="s">
        <v>88</v>
      </c>
      <c r="D30" s="8" t="s">
        <v>86</v>
      </c>
      <c r="E30" s="70">
        <v>347016.16666666599</v>
      </c>
      <c r="F30" s="70"/>
      <c r="G30" s="186"/>
      <c r="H30" s="186">
        <f t="shared" si="5"/>
        <v>60000</v>
      </c>
      <c r="I30" s="70"/>
      <c r="J30" s="466">
        <f t="shared" si="0"/>
        <v>407016.16666666599</v>
      </c>
      <c r="K30" s="70"/>
      <c r="L30" s="70">
        <f>30000+20000</f>
        <v>50000</v>
      </c>
      <c r="M30" s="70">
        <v>0</v>
      </c>
      <c r="N30" s="70"/>
      <c r="O30" s="70"/>
      <c r="P30" s="70"/>
      <c r="Q30" s="70">
        <v>50765.877199999901</v>
      </c>
      <c r="R30" s="70">
        <v>27761.293333333299</v>
      </c>
      <c r="S30" s="467">
        <f t="shared" si="2"/>
        <v>128527.170533333</v>
      </c>
      <c r="T30" s="70">
        <v>278488.99613333301</v>
      </c>
      <c r="U30" s="466">
        <f t="shared" si="4"/>
        <v>278488.99613333301</v>
      </c>
    </row>
    <row r="31" spans="1:21" ht="18.75" customHeight="1">
      <c r="A31" s="8">
        <v>25</v>
      </c>
      <c r="B31" s="16" t="s">
        <v>89</v>
      </c>
      <c r="C31" s="2" t="s">
        <v>90</v>
      </c>
      <c r="D31" s="13" t="s">
        <v>81</v>
      </c>
      <c r="E31" s="70">
        <v>372145.33333333302</v>
      </c>
      <c r="F31" s="70"/>
      <c r="G31" s="186"/>
      <c r="H31" s="186">
        <v>60000</v>
      </c>
      <c r="I31" s="70"/>
      <c r="J31" s="466">
        <f t="shared" si="0"/>
        <v>432145.33333333302</v>
      </c>
      <c r="K31" s="70"/>
      <c r="L31" s="70"/>
      <c r="M31" s="70">
        <v>0</v>
      </c>
      <c r="N31" s="70"/>
      <c r="O31" s="860"/>
      <c r="P31" s="860">
        <v>5889.4458333333296</v>
      </c>
      <c r="Q31" s="70">
        <v>53867.166949999999</v>
      </c>
      <c r="R31" s="70">
        <v>29771.626666666602</v>
      </c>
      <c r="S31" s="467">
        <f t="shared" si="2"/>
        <v>89528.239449999906</v>
      </c>
      <c r="T31" s="70">
        <v>342617.09388333297</v>
      </c>
      <c r="U31" s="466">
        <f t="shared" si="4"/>
        <v>342617.09388333297</v>
      </c>
    </row>
    <row r="32" spans="1:21" ht="18.75" customHeight="1">
      <c r="A32" s="8">
        <v>26</v>
      </c>
      <c r="B32" s="16" t="s">
        <v>91</v>
      </c>
      <c r="C32" s="2" t="s">
        <v>92</v>
      </c>
      <c r="D32" s="13" t="s">
        <v>81</v>
      </c>
      <c r="E32" s="70">
        <v>372145.33333333302</v>
      </c>
      <c r="F32" s="70"/>
      <c r="G32" s="186"/>
      <c r="H32" s="186">
        <v>60000</v>
      </c>
      <c r="I32" s="70"/>
      <c r="J32" s="466">
        <f t="shared" si="0"/>
        <v>432145.33333333302</v>
      </c>
      <c r="K32" s="70"/>
      <c r="L32" s="70">
        <f>20000</f>
        <v>20000</v>
      </c>
      <c r="M32" s="70">
        <f>161429.76+39000+50000</f>
        <v>250429.76</v>
      </c>
      <c r="N32" s="70"/>
      <c r="O32" s="860"/>
      <c r="P32" s="860">
        <v>5889.4458333333296</v>
      </c>
      <c r="Q32" s="186">
        <v>53867.166949999999</v>
      </c>
      <c r="R32" s="186">
        <v>29771.626666666602</v>
      </c>
      <c r="S32" s="467">
        <f t="shared" si="2"/>
        <v>359957.99945</v>
      </c>
      <c r="T32" s="70">
        <v>72187.333883333107</v>
      </c>
      <c r="U32" s="466">
        <f t="shared" si="4"/>
        <v>72187.333883333107</v>
      </c>
    </row>
    <row r="33" spans="1:21" ht="18.75" customHeight="1">
      <c r="A33" s="8">
        <v>27</v>
      </c>
      <c r="B33" s="16" t="s">
        <v>93</v>
      </c>
      <c r="C33" s="2" t="s">
        <v>94</v>
      </c>
      <c r="D33" s="8" t="s">
        <v>86</v>
      </c>
      <c r="E33" s="70">
        <v>347016.16666666599</v>
      </c>
      <c r="F33" s="70"/>
      <c r="G33" s="186"/>
      <c r="H33" s="186">
        <f t="shared" si="5"/>
        <v>60000</v>
      </c>
      <c r="I33" s="70"/>
      <c r="J33" s="466">
        <f t="shared" si="0"/>
        <v>407016.16666666599</v>
      </c>
      <c r="K33" s="70"/>
      <c r="L33" s="70"/>
      <c r="M33" s="70">
        <v>0</v>
      </c>
      <c r="N33" s="70"/>
      <c r="O33" s="70"/>
      <c r="P33" s="70"/>
      <c r="Q33" s="70">
        <v>50765.877199999901</v>
      </c>
      <c r="R33" s="70">
        <v>27761.293333333299</v>
      </c>
      <c r="S33" s="467">
        <f t="shared" si="2"/>
        <v>78527.170533333207</v>
      </c>
      <c r="T33" s="70">
        <v>328488.99613333301</v>
      </c>
      <c r="U33" s="466">
        <f t="shared" si="4"/>
        <v>328488.99613333301</v>
      </c>
    </row>
    <row r="34" spans="1:21" ht="18.75" customHeight="1">
      <c r="A34" s="8">
        <v>28</v>
      </c>
      <c r="B34" s="16" t="s">
        <v>95</v>
      </c>
      <c r="C34" s="2" t="s">
        <v>96</v>
      </c>
      <c r="D34" s="13" t="s">
        <v>81</v>
      </c>
      <c r="E34" s="70">
        <v>372145.33333333302</v>
      </c>
      <c r="F34" s="70"/>
      <c r="G34" s="186"/>
      <c r="H34" s="186">
        <v>60000</v>
      </c>
      <c r="I34" s="70"/>
      <c r="J34" s="466">
        <f t="shared" si="0"/>
        <v>432145.33333333302</v>
      </c>
      <c r="K34" s="70"/>
      <c r="L34" s="70">
        <f>0</f>
        <v>0</v>
      </c>
      <c r="M34" s="70"/>
      <c r="N34" s="70"/>
      <c r="O34" s="70"/>
      <c r="P34" s="70"/>
      <c r="Q34" s="70">
        <v>54927.2671999999</v>
      </c>
      <c r="R34" s="70">
        <v>29771.626666666602</v>
      </c>
      <c r="S34" s="467">
        <f t="shared" si="2"/>
        <v>84698.893866666505</v>
      </c>
      <c r="T34" s="70">
        <v>347446.43946666701</v>
      </c>
      <c r="U34" s="466">
        <f t="shared" si="4"/>
        <v>347446.43946666701</v>
      </c>
    </row>
    <row r="35" spans="1:21" s="1" customFormat="1" ht="18.75" customHeight="1">
      <c r="A35" s="8">
        <v>29</v>
      </c>
      <c r="B35" s="16" t="s">
        <v>97</v>
      </c>
      <c r="C35" s="2" t="s">
        <v>98</v>
      </c>
      <c r="D35" s="8" t="s">
        <v>99</v>
      </c>
      <c r="E35" s="70">
        <v>338711.66666666698</v>
      </c>
      <c r="F35" s="70">
        <v>3000</v>
      </c>
      <c r="G35" s="186"/>
      <c r="H35" s="186">
        <f t="shared" si="5"/>
        <v>60000</v>
      </c>
      <c r="I35" s="70"/>
      <c r="J35" s="466">
        <f t="shared" si="0"/>
        <v>401711.66666666698</v>
      </c>
      <c r="K35" s="70"/>
      <c r="L35" s="70">
        <v>50000</v>
      </c>
      <c r="M35" s="70"/>
      <c r="N35" s="70"/>
      <c r="O35" s="70"/>
      <c r="P35" s="70">
        <v>5443.3354166666804</v>
      </c>
      <c r="Q35" s="70">
        <v>45410.851625000003</v>
      </c>
      <c r="R35" s="70">
        <v>27096.9333333334</v>
      </c>
      <c r="S35" s="467">
        <f t="shared" si="2"/>
        <v>127951.120375</v>
      </c>
      <c r="T35" s="70">
        <v>267760.54629166698</v>
      </c>
      <c r="U35" s="466">
        <f t="shared" si="4"/>
        <v>273760.54629166698</v>
      </c>
    </row>
    <row r="36" spans="1:21" s="1" customFormat="1" ht="18.75" customHeight="1">
      <c r="A36" s="8">
        <v>30</v>
      </c>
      <c r="B36" s="16" t="s">
        <v>100</v>
      </c>
      <c r="C36" s="2" t="s">
        <v>98</v>
      </c>
      <c r="D36" s="8" t="s">
        <v>99</v>
      </c>
      <c r="E36" s="70">
        <v>338711.66666666698</v>
      </c>
      <c r="F36" s="70"/>
      <c r="G36" s="186"/>
      <c r="H36" s="186">
        <f t="shared" si="5"/>
        <v>60000</v>
      </c>
      <c r="I36" s="70"/>
      <c r="J36" s="466">
        <f t="shared" si="0"/>
        <v>398711.66666666698</v>
      </c>
      <c r="K36" s="70"/>
      <c r="L36" s="70">
        <v>50000</v>
      </c>
      <c r="M36" s="70">
        <v>60625</v>
      </c>
      <c r="N36" s="70"/>
      <c r="O36" s="70"/>
      <c r="P36" s="70">
        <v>5443.3354166666804</v>
      </c>
      <c r="Q36" s="70">
        <v>48410.851625000003</v>
      </c>
      <c r="R36" s="70">
        <v>27096.9333333334</v>
      </c>
      <c r="S36" s="467">
        <f t="shared" si="2"/>
        <v>191576.120375</v>
      </c>
      <c r="T36" s="70">
        <v>207135.54629166701</v>
      </c>
      <c r="U36" s="466">
        <f t="shared" si="4"/>
        <v>207135.54629166701</v>
      </c>
    </row>
    <row r="37" spans="1:21" s="1" customFormat="1" ht="18.75" customHeight="1">
      <c r="A37" s="8">
        <v>31</v>
      </c>
      <c r="B37" s="16" t="s">
        <v>101</v>
      </c>
      <c r="C37" s="2" t="s">
        <v>85</v>
      </c>
      <c r="D37" s="8" t="s">
        <v>99</v>
      </c>
      <c r="E37" s="70">
        <v>338711.66666666698</v>
      </c>
      <c r="F37" s="70"/>
      <c r="G37" s="186"/>
      <c r="H37" s="186">
        <f t="shared" si="5"/>
        <v>60000</v>
      </c>
      <c r="I37" s="70"/>
      <c r="J37" s="466">
        <f t="shared" si="0"/>
        <v>398711.66666666698</v>
      </c>
      <c r="K37" s="70"/>
      <c r="L37" s="70"/>
      <c r="M37" s="70"/>
      <c r="N37" s="70"/>
      <c r="O37" s="70"/>
      <c r="P37" s="70"/>
      <c r="Q37" s="70">
        <v>49390.652000000096</v>
      </c>
      <c r="R37" s="70">
        <v>27096.9333333334</v>
      </c>
      <c r="S37" s="467">
        <f t="shared" si="2"/>
        <v>76487.585333333496</v>
      </c>
      <c r="T37" s="70">
        <v>322224.08133333398</v>
      </c>
      <c r="U37" s="466">
        <f t="shared" si="4"/>
        <v>322224.08133333398</v>
      </c>
    </row>
    <row r="38" spans="1:21" s="1" customFormat="1" ht="18.75" customHeight="1">
      <c r="A38" s="8">
        <v>32</v>
      </c>
      <c r="B38" s="16" t="s">
        <v>102</v>
      </c>
      <c r="C38" s="2" t="s">
        <v>94</v>
      </c>
      <c r="D38" s="8" t="s">
        <v>99</v>
      </c>
      <c r="E38" s="70">
        <v>338711.66666666698</v>
      </c>
      <c r="F38" s="70"/>
      <c r="G38" s="186"/>
      <c r="H38" s="186">
        <f t="shared" si="5"/>
        <v>60000</v>
      </c>
      <c r="I38" s="70"/>
      <c r="J38" s="466">
        <f t="shared" ref="J38:J69" si="6">E38+F38+G38+H38+I38</f>
        <v>398711.66666666698</v>
      </c>
      <c r="K38" s="70"/>
      <c r="L38" s="70"/>
      <c r="M38" s="70"/>
      <c r="N38" s="70"/>
      <c r="O38" s="70"/>
      <c r="P38" s="70">
        <v>5443.3354166666804</v>
      </c>
      <c r="Q38" s="70">
        <v>48410.851625000098</v>
      </c>
      <c r="R38" s="70">
        <v>27096.9333333334</v>
      </c>
      <c r="S38" s="467">
        <f t="shared" si="2"/>
        <v>80951.120375000202</v>
      </c>
      <c r="T38" s="70">
        <v>317760.54629166698</v>
      </c>
      <c r="U38" s="466">
        <f t="shared" si="4"/>
        <v>317760.54629166698</v>
      </c>
    </row>
    <row r="39" spans="1:21" ht="18.75" customHeight="1">
      <c r="A39" s="8">
        <v>33</v>
      </c>
      <c r="B39" s="16" t="s">
        <v>103</v>
      </c>
      <c r="C39" s="10" t="s">
        <v>104</v>
      </c>
      <c r="D39" s="13" t="s">
        <v>105</v>
      </c>
      <c r="E39" s="70">
        <v>308920.66666666698</v>
      </c>
      <c r="F39" s="70"/>
      <c r="G39" s="186"/>
      <c r="H39" s="186">
        <v>50000</v>
      </c>
      <c r="I39" s="70"/>
      <c r="J39" s="466">
        <f t="shared" si="6"/>
        <v>358920.66666666698</v>
      </c>
      <c r="K39" s="70"/>
      <c r="L39" s="70">
        <v>20000</v>
      </c>
      <c r="M39" s="70">
        <v>0</v>
      </c>
      <c r="N39" s="1105"/>
      <c r="O39" s="860"/>
      <c r="P39" s="860">
        <v>5013.7354166666801</v>
      </c>
      <c r="Q39" s="70">
        <v>41754.790025000097</v>
      </c>
      <c r="R39" s="70">
        <v>24713.653333333401</v>
      </c>
      <c r="S39" s="467">
        <f t="shared" si="2"/>
        <v>91482.178775000197</v>
      </c>
      <c r="T39" s="70">
        <v>267438.487891667</v>
      </c>
      <c r="U39" s="466">
        <f t="shared" si="4"/>
        <v>267438.487891667</v>
      </c>
    </row>
    <row r="40" spans="1:21" ht="18.75" customHeight="1">
      <c r="A40" s="8">
        <v>34</v>
      </c>
      <c r="B40" s="16" t="s">
        <v>106</v>
      </c>
      <c r="C40" s="10" t="s">
        <v>107</v>
      </c>
      <c r="D40" s="13" t="s">
        <v>108</v>
      </c>
      <c r="E40" s="630">
        <v>301910.75</v>
      </c>
      <c r="F40" s="70"/>
      <c r="G40" s="186"/>
      <c r="H40" s="186">
        <v>50000</v>
      </c>
      <c r="I40" s="70"/>
      <c r="J40" s="466">
        <f t="shared" si="6"/>
        <v>351910.75</v>
      </c>
      <c r="K40" s="70"/>
      <c r="L40" s="638">
        <v>50000</v>
      </c>
      <c r="M40" s="638">
        <v>45833.33</v>
      </c>
      <c r="N40" s="1106">
        <v>50000</v>
      </c>
      <c r="O40" s="860"/>
      <c r="P40" s="860">
        <v>4909.1104166666801</v>
      </c>
      <c r="Q40" s="638">
        <v>40612.780325</v>
      </c>
      <c r="R40" s="639">
        <v>24152.86</v>
      </c>
      <c r="S40" s="467">
        <f t="shared" si="2"/>
        <v>215508.08074166701</v>
      </c>
      <c r="T40" s="70">
        <v>136402.66925833299</v>
      </c>
      <c r="U40" s="466">
        <f t="shared" si="4"/>
        <v>136402.66925833299</v>
      </c>
    </row>
    <row r="41" spans="1:21" s="1" customFormat="1" ht="20.100000000000001" customHeight="1">
      <c r="A41" s="8">
        <v>35</v>
      </c>
      <c r="B41" s="16" t="s">
        <v>109</v>
      </c>
      <c r="C41" s="10" t="s">
        <v>110</v>
      </c>
      <c r="D41" s="13" t="s">
        <v>111</v>
      </c>
      <c r="E41" s="70">
        <v>294900.83333333401</v>
      </c>
      <c r="F41" s="70"/>
      <c r="G41" s="186"/>
      <c r="H41" s="186">
        <f t="shared" ref="H41:H46" si="7">50000</f>
        <v>50000</v>
      </c>
      <c r="I41" s="70"/>
      <c r="J41" s="466">
        <f t="shared" si="6"/>
        <v>344900.83333333401</v>
      </c>
      <c r="K41" s="70"/>
      <c r="L41" s="638">
        <v>10000</v>
      </c>
      <c r="M41" s="638">
        <v>66666.67</v>
      </c>
      <c r="N41" s="638"/>
      <c r="O41" s="780"/>
      <c r="P41" s="780">
        <v>4804.4854166666801</v>
      </c>
      <c r="Q41" s="638">
        <v>39470.770625000099</v>
      </c>
      <c r="R41" s="638">
        <v>23592.066666666698</v>
      </c>
      <c r="S41" s="467">
        <f t="shared" si="2"/>
        <v>144533.99270833301</v>
      </c>
      <c r="T41" s="70">
        <v>200366.840625001</v>
      </c>
      <c r="U41" s="466">
        <f t="shared" si="4"/>
        <v>200366.840625001</v>
      </c>
    </row>
    <row r="42" spans="1:21" s="1" customFormat="1" ht="20.100000000000001" customHeight="1">
      <c r="A42" s="8">
        <v>36</v>
      </c>
      <c r="B42" s="16" t="s">
        <v>112</v>
      </c>
      <c r="C42" s="10" t="s">
        <v>113</v>
      </c>
      <c r="D42" s="13" t="s">
        <v>111</v>
      </c>
      <c r="E42" s="70">
        <v>294900.83333333401</v>
      </c>
      <c r="F42" s="70"/>
      <c r="G42" s="186"/>
      <c r="H42" s="186">
        <f t="shared" si="7"/>
        <v>50000</v>
      </c>
      <c r="I42" s="70"/>
      <c r="J42" s="466">
        <f t="shared" si="6"/>
        <v>344900.83333333401</v>
      </c>
      <c r="K42" s="70"/>
      <c r="L42" s="638"/>
      <c r="M42" s="638"/>
      <c r="N42" s="638">
        <v>70000</v>
      </c>
      <c r="O42" s="780"/>
      <c r="P42" s="780"/>
      <c r="Q42" s="227">
        <v>40335.578000000103</v>
      </c>
      <c r="R42" s="227">
        <v>23592.066666666698</v>
      </c>
      <c r="S42" s="467">
        <f t="shared" si="2"/>
        <v>133927.64466666701</v>
      </c>
      <c r="T42" s="70">
        <v>210973.188666667</v>
      </c>
      <c r="U42" s="466">
        <f t="shared" si="4"/>
        <v>210973.188666667</v>
      </c>
    </row>
    <row r="43" spans="1:21" s="1" customFormat="1" ht="20.100000000000001" customHeight="1">
      <c r="A43" s="8">
        <v>37</v>
      </c>
      <c r="B43" s="16" t="s">
        <v>114</v>
      </c>
      <c r="C43" s="10" t="s">
        <v>113</v>
      </c>
      <c r="D43" s="13" t="s">
        <v>111</v>
      </c>
      <c r="E43" s="70">
        <v>294900.83333333401</v>
      </c>
      <c r="F43" s="70"/>
      <c r="G43" s="186"/>
      <c r="H43" s="186">
        <f t="shared" si="7"/>
        <v>50000</v>
      </c>
      <c r="I43" s="70"/>
      <c r="J43" s="466">
        <f t="shared" si="6"/>
        <v>344900.83333333401</v>
      </c>
      <c r="K43" s="70"/>
      <c r="L43" s="638"/>
      <c r="M43" s="638"/>
      <c r="N43" s="638"/>
      <c r="O43" s="780"/>
      <c r="P43" s="780"/>
      <c r="Q43" s="227">
        <v>40335.578000000103</v>
      </c>
      <c r="R43" s="227">
        <v>23592.066666666698</v>
      </c>
      <c r="S43" s="467">
        <f t="shared" si="2"/>
        <v>63927.644666666798</v>
      </c>
      <c r="T43" s="70">
        <v>280973.18866666697</v>
      </c>
      <c r="U43" s="466">
        <f t="shared" si="4"/>
        <v>280973.18866666697</v>
      </c>
    </row>
    <row r="44" spans="1:21" s="1" customFormat="1" ht="20.100000000000001" customHeight="1">
      <c r="A44" s="8">
        <v>38</v>
      </c>
      <c r="B44" s="16" t="s">
        <v>115</v>
      </c>
      <c r="C44" s="10" t="s">
        <v>116</v>
      </c>
      <c r="D44" s="13" t="s">
        <v>111</v>
      </c>
      <c r="E44" s="70">
        <v>294900.83333333401</v>
      </c>
      <c r="F44" s="70"/>
      <c r="G44" s="186"/>
      <c r="H44" s="186">
        <f t="shared" si="7"/>
        <v>50000</v>
      </c>
      <c r="I44" s="70"/>
      <c r="J44" s="466">
        <f t="shared" si="6"/>
        <v>344900.83333333401</v>
      </c>
      <c r="K44" s="70"/>
      <c r="L44" s="638">
        <v>20000</v>
      </c>
      <c r="M44" s="638"/>
      <c r="N44" s="638"/>
      <c r="O44" s="780"/>
      <c r="P44" s="780"/>
      <c r="Q44" s="227">
        <v>40335.578000000103</v>
      </c>
      <c r="R44" s="227">
        <v>23592.066666666698</v>
      </c>
      <c r="S44" s="467">
        <f t="shared" si="2"/>
        <v>83927.644666666805</v>
      </c>
      <c r="T44" s="70">
        <v>260973.188666667</v>
      </c>
      <c r="U44" s="466">
        <f t="shared" si="4"/>
        <v>260973.188666667</v>
      </c>
    </row>
    <row r="45" spans="1:21" s="1" customFormat="1" ht="20.100000000000001" customHeight="1">
      <c r="A45" s="8">
        <v>39</v>
      </c>
      <c r="B45" s="16" t="s">
        <v>117</v>
      </c>
      <c r="C45" s="10" t="s">
        <v>113</v>
      </c>
      <c r="D45" s="13" t="s">
        <v>111</v>
      </c>
      <c r="E45" s="70">
        <v>294900.83333333401</v>
      </c>
      <c r="F45" s="70"/>
      <c r="G45" s="186"/>
      <c r="H45" s="186">
        <f t="shared" si="7"/>
        <v>50000</v>
      </c>
      <c r="I45" s="70"/>
      <c r="J45" s="466">
        <f t="shared" si="6"/>
        <v>344900.83333333401</v>
      </c>
      <c r="K45" s="70"/>
      <c r="L45" s="638">
        <v>20000</v>
      </c>
      <c r="M45" s="638">
        <v>150000</v>
      </c>
      <c r="N45" s="638"/>
      <c r="O45" s="780"/>
      <c r="P45" s="780"/>
      <c r="Q45" s="227">
        <v>40335.578000000103</v>
      </c>
      <c r="R45" s="227">
        <v>23592.066666666698</v>
      </c>
      <c r="S45" s="467">
        <f t="shared" si="2"/>
        <v>233927.64466666701</v>
      </c>
      <c r="T45" s="70">
        <v>110973.188666667</v>
      </c>
      <c r="U45" s="466">
        <f t="shared" si="4"/>
        <v>110973.188666667</v>
      </c>
    </row>
    <row r="46" spans="1:21" s="1" customFormat="1" ht="20.100000000000001" customHeight="1">
      <c r="A46" s="8">
        <v>40</v>
      </c>
      <c r="B46" s="16" t="s">
        <v>118</v>
      </c>
      <c r="C46" s="10" t="s">
        <v>119</v>
      </c>
      <c r="D46" s="13" t="s">
        <v>111</v>
      </c>
      <c r="E46" s="70">
        <v>294900.83333333401</v>
      </c>
      <c r="F46" s="70"/>
      <c r="G46" s="186"/>
      <c r="H46" s="186">
        <f t="shared" si="7"/>
        <v>50000</v>
      </c>
      <c r="I46" s="70"/>
      <c r="J46" s="466">
        <f t="shared" si="6"/>
        <v>344900.83333333401</v>
      </c>
      <c r="K46" s="70"/>
      <c r="L46" s="638"/>
      <c r="M46" s="638"/>
      <c r="N46" s="638"/>
      <c r="O46" s="2"/>
      <c r="P46" s="2"/>
      <c r="Q46" s="638">
        <v>40335.578000000103</v>
      </c>
      <c r="R46" s="638">
        <v>23592.066666666698</v>
      </c>
      <c r="S46" s="467">
        <f t="shared" si="2"/>
        <v>63927.644666666798</v>
      </c>
      <c r="T46" s="70">
        <v>280973.18866666697</v>
      </c>
      <c r="U46" s="466">
        <f t="shared" si="4"/>
        <v>280973.18866666697</v>
      </c>
    </row>
    <row r="47" spans="1:21" ht="26.25" customHeight="1">
      <c r="A47" s="8"/>
      <c r="B47" s="18" t="s">
        <v>120</v>
      </c>
      <c r="C47" s="19">
        <v>40</v>
      </c>
      <c r="D47" s="13"/>
      <c r="E47" s="187">
        <f>SUM(E7:E46)</f>
        <v>20521613</v>
      </c>
      <c r="F47" s="187">
        <f t="shared" ref="F47:S47" si="8">SUM(F7:F46)</f>
        <v>10500</v>
      </c>
      <c r="G47" s="187">
        <f t="shared" si="8"/>
        <v>1590000</v>
      </c>
      <c r="H47" s="187">
        <f t="shared" si="8"/>
        <v>1820000</v>
      </c>
      <c r="I47" s="187">
        <f t="shared" si="8"/>
        <v>2025235</v>
      </c>
      <c r="J47" s="466">
        <f t="shared" si="6"/>
        <v>25967348</v>
      </c>
      <c r="K47" s="187">
        <f t="shared" si="8"/>
        <v>0</v>
      </c>
      <c r="L47" s="187">
        <f t="shared" si="8"/>
        <v>1270000</v>
      </c>
      <c r="M47" s="187">
        <f t="shared" si="8"/>
        <v>1658174.09</v>
      </c>
      <c r="N47" s="187">
        <f t="shared" si="8"/>
        <v>320000</v>
      </c>
      <c r="O47" s="187">
        <f t="shared" si="8"/>
        <v>57818.75</v>
      </c>
      <c r="P47" s="187">
        <f t="shared" si="8"/>
        <v>148222.56041666699</v>
      </c>
      <c r="Q47" s="187">
        <f t="shared" si="8"/>
        <v>3732163.05675</v>
      </c>
      <c r="R47" s="187">
        <f t="shared" si="8"/>
        <v>1411613.5333333299</v>
      </c>
      <c r="S47" s="187">
        <f t="shared" si="8"/>
        <v>8597991.9904999994</v>
      </c>
      <c r="T47" s="187">
        <v>17467624.5809667</v>
      </c>
      <c r="U47" s="187">
        <f>SUM(U7:U46)</f>
        <v>17369356.009500001</v>
      </c>
    </row>
    <row r="48" spans="1:21" ht="18.75" customHeight="1">
      <c r="A48" s="8"/>
      <c r="B48" s="20"/>
      <c r="C48" s="2"/>
      <c r="D48" s="13"/>
      <c r="E48" s="187"/>
      <c r="F48" s="187"/>
      <c r="G48" s="186"/>
      <c r="H48" s="186"/>
      <c r="I48" s="187"/>
      <c r="J48" s="466">
        <f t="shared" si="6"/>
        <v>0</v>
      </c>
      <c r="K48" s="187"/>
      <c r="L48" s="187"/>
      <c r="M48" s="187"/>
      <c r="N48" s="187"/>
      <c r="O48" s="187"/>
      <c r="P48" s="187"/>
      <c r="Q48" s="187"/>
      <c r="R48" s="187"/>
      <c r="S48" s="472"/>
      <c r="T48" s="187"/>
      <c r="U48" s="471"/>
    </row>
    <row r="49" spans="1:21" ht="18.75" customHeight="1">
      <c r="A49" s="8"/>
      <c r="B49" s="18" t="s">
        <v>121</v>
      </c>
      <c r="C49" s="2"/>
      <c r="D49" s="13"/>
      <c r="E49" s="70"/>
      <c r="F49" s="70"/>
      <c r="G49" s="186"/>
      <c r="H49" s="186"/>
      <c r="I49" s="70"/>
      <c r="J49" s="466">
        <f t="shared" si="6"/>
        <v>0</v>
      </c>
      <c r="K49" s="70"/>
      <c r="L49" s="70"/>
      <c r="M49" s="70"/>
      <c r="N49" s="70"/>
      <c r="O49" s="70"/>
      <c r="P49" s="70"/>
      <c r="Q49" s="70"/>
      <c r="R49" s="70"/>
      <c r="S49" s="467"/>
      <c r="T49" s="70"/>
      <c r="U49" s="466"/>
    </row>
    <row r="50" spans="1:21" ht="18.75" customHeight="1">
      <c r="A50" s="8">
        <v>1</v>
      </c>
      <c r="B50" s="16" t="s">
        <v>122</v>
      </c>
      <c r="C50" s="2" t="s">
        <v>123</v>
      </c>
      <c r="D50" s="8" t="s">
        <v>124</v>
      </c>
      <c r="E50" s="70">
        <v>1747106.41666666</v>
      </c>
      <c r="F50" s="70"/>
      <c r="G50" s="186"/>
      <c r="H50" s="186">
        <f>100000</f>
        <v>100000</v>
      </c>
      <c r="I50" s="70"/>
      <c r="J50" s="466">
        <f t="shared" si="6"/>
        <v>1847106.41666666</v>
      </c>
      <c r="K50" s="70">
        <f>'JANUARY 2026'!F250</f>
        <v>0</v>
      </c>
      <c r="L50" s="70">
        <f>300000</f>
        <v>300000</v>
      </c>
      <c r="M50" s="70">
        <f>458333.33</f>
        <v>458333.33</v>
      </c>
      <c r="N50" s="70"/>
      <c r="O50" s="70"/>
      <c r="P50" s="70"/>
      <c r="Q50" s="70">
        <v>311040.95969999902</v>
      </c>
      <c r="R50" s="70">
        <v>139768.51333333299</v>
      </c>
      <c r="S50" s="467">
        <f t="shared" ref="S50:S56" si="9">SUM(K50:R50)</f>
        <v>1209142.80303333</v>
      </c>
      <c r="T50" s="70">
        <v>637963.613633328</v>
      </c>
      <c r="U50" s="466">
        <f>J50-S50</f>
        <v>637963.613633328</v>
      </c>
    </row>
    <row r="51" spans="1:21" ht="20.100000000000001" customHeight="1">
      <c r="A51" s="8">
        <v>2</v>
      </c>
      <c r="B51" s="9" t="s">
        <v>125</v>
      </c>
      <c r="C51" s="10" t="s">
        <v>126</v>
      </c>
      <c r="D51" s="13" t="s">
        <v>50</v>
      </c>
      <c r="E51" s="70">
        <v>722595.5</v>
      </c>
      <c r="F51" s="70"/>
      <c r="G51" s="186"/>
      <c r="H51" s="186">
        <f>80000</f>
        <v>80000</v>
      </c>
      <c r="I51" s="70">
        <v>0</v>
      </c>
      <c r="J51" s="466">
        <f t="shared" si="6"/>
        <v>802595.5</v>
      </c>
      <c r="K51" s="70"/>
      <c r="L51" s="70">
        <v>50000</v>
      </c>
      <c r="M51" s="70"/>
      <c r="N51" s="70"/>
      <c r="O51" s="70"/>
      <c r="P51" s="70"/>
      <c r="Q51" s="70">
        <v>116561.81479999999</v>
      </c>
      <c r="R51" s="70">
        <v>57807.64</v>
      </c>
      <c r="S51" s="467">
        <f t="shared" si="9"/>
        <v>224369.45480000001</v>
      </c>
      <c r="T51" s="70">
        <v>578226.04520000005</v>
      </c>
      <c r="U51" s="466">
        <f t="shared" ref="U51:U56" si="10">J51-S51</f>
        <v>578226.04520000005</v>
      </c>
    </row>
    <row r="52" spans="1:21" ht="18.75" customHeight="1">
      <c r="A52" s="8">
        <v>3</v>
      </c>
      <c r="B52" s="16" t="s">
        <v>127</v>
      </c>
      <c r="C52" s="2" t="s">
        <v>128</v>
      </c>
      <c r="D52" s="8" t="s">
        <v>78</v>
      </c>
      <c r="E52" s="70">
        <v>390135.83333333401</v>
      </c>
      <c r="F52" s="70"/>
      <c r="G52" s="186"/>
      <c r="H52" s="186">
        <f>60000</f>
        <v>60000</v>
      </c>
      <c r="I52" s="70"/>
      <c r="J52" s="466">
        <f t="shared" si="6"/>
        <v>450135.83333333401</v>
      </c>
      <c r="K52" s="70"/>
      <c r="L52" s="70">
        <f>20000</f>
        <v>20000</v>
      </c>
      <c r="M52" s="70">
        <v>73333.33</v>
      </c>
      <c r="N52" s="70">
        <v>20000</v>
      </c>
      <c r="O52" s="70">
        <v>27128.75</v>
      </c>
      <c r="P52" s="70">
        <v>6154.2791666666799</v>
      </c>
      <c r="Q52" s="70">
        <v>56798.723750000099</v>
      </c>
      <c r="R52" s="70">
        <v>31210.866666666701</v>
      </c>
      <c r="S52" s="467">
        <f t="shared" si="9"/>
        <v>234625.94958333299</v>
      </c>
      <c r="T52" s="70">
        <v>242638.633750001</v>
      </c>
      <c r="U52" s="466">
        <f t="shared" si="10"/>
        <v>215509.883750001</v>
      </c>
    </row>
    <row r="53" spans="1:21" ht="18.75" customHeight="1">
      <c r="A53" s="8">
        <v>4</v>
      </c>
      <c r="B53" s="9" t="s">
        <v>129</v>
      </c>
      <c r="C53" s="2" t="s">
        <v>130</v>
      </c>
      <c r="D53" s="13" t="s">
        <v>131</v>
      </c>
      <c r="E53" s="186">
        <v>454993.58333333302</v>
      </c>
      <c r="F53" s="70"/>
      <c r="G53" s="186"/>
      <c r="H53" s="186">
        <f>60000</f>
        <v>60000</v>
      </c>
      <c r="I53" s="70"/>
      <c r="J53" s="466">
        <f t="shared" si="6"/>
        <v>514993.58333333302</v>
      </c>
      <c r="K53" s="70"/>
      <c r="L53" s="70">
        <f>10000</f>
        <v>10000</v>
      </c>
      <c r="M53" s="70"/>
      <c r="N53" s="70"/>
      <c r="O53" s="70"/>
      <c r="P53" s="70"/>
      <c r="Q53" s="70">
        <v>68646.937399999995</v>
      </c>
      <c r="R53" s="70">
        <v>36399.486666666598</v>
      </c>
      <c r="S53" s="467">
        <f t="shared" si="9"/>
        <v>115046.42406666699</v>
      </c>
      <c r="T53" s="70">
        <v>399947.15926666599</v>
      </c>
      <c r="U53" s="466">
        <f t="shared" si="10"/>
        <v>399947.15926666599</v>
      </c>
    </row>
    <row r="54" spans="1:21" s="1" customFormat="1" ht="20.100000000000001" customHeight="1">
      <c r="A54" s="8">
        <v>5</v>
      </c>
      <c r="B54" s="16" t="s">
        <v>132</v>
      </c>
      <c r="C54" s="2" t="s">
        <v>128</v>
      </c>
      <c r="D54" s="13" t="s">
        <v>99</v>
      </c>
      <c r="E54" s="70">
        <v>338711.66666666698</v>
      </c>
      <c r="F54" s="70"/>
      <c r="G54" s="186"/>
      <c r="H54" s="186">
        <v>60000</v>
      </c>
      <c r="I54" s="70"/>
      <c r="J54" s="466">
        <f t="shared" si="6"/>
        <v>398711.66666666698</v>
      </c>
      <c r="K54" s="70"/>
      <c r="L54" s="638">
        <f>100000</f>
        <v>100000</v>
      </c>
      <c r="M54" s="638"/>
      <c r="N54" s="638"/>
      <c r="O54" s="2">
        <v>77277.75</v>
      </c>
      <c r="P54" s="780">
        <v>5443.3354166666804</v>
      </c>
      <c r="Q54" s="638">
        <v>48410.851625000098</v>
      </c>
      <c r="R54" s="639">
        <v>27096.9333333334</v>
      </c>
      <c r="S54" s="467">
        <f t="shared" si="9"/>
        <v>258228.870375</v>
      </c>
      <c r="T54" s="70">
        <v>217760.54629166701</v>
      </c>
      <c r="U54" s="466">
        <f t="shared" si="10"/>
        <v>140482.79629166701</v>
      </c>
    </row>
    <row r="55" spans="1:21" ht="18.75" customHeight="1">
      <c r="A55" s="8">
        <v>6</v>
      </c>
      <c r="B55" s="9" t="s">
        <v>133</v>
      </c>
      <c r="C55" s="2" t="s">
        <v>134</v>
      </c>
      <c r="D55" s="13" t="s">
        <v>86</v>
      </c>
      <c r="E55" s="630">
        <v>347016.16666666599</v>
      </c>
      <c r="F55" s="70"/>
      <c r="G55" s="186"/>
      <c r="H55" s="186">
        <v>60000</v>
      </c>
      <c r="I55" s="70"/>
      <c r="J55" s="466">
        <f t="shared" si="6"/>
        <v>407016.16666666599</v>
      </c>
      <c r="K55" s="70"/>
      <c r="L55" s="638">
        <v>20000</v>
      </c>
      <c r="M55" s="638">
        <v>98878.69</v>
      </c>
      <c r="N55" s="638"/>
      <c r="O55" s="780"/>
      <c r="P55" s="780">
        <v>5566.8645833333203</v>
      </c>
      <c r="Q55" s="638">
        <v>49763.841574999897</v>
      </c>
      <c r="R55" s="639">
        <v>27761.293333333299</v>
      </c>
      <c r="S55" s="467">
        <f t="shared" si="9"/>
        <v>201970.689491667</v>
      </c>
      <c r="T55" s="70">
        <v>205045.47717499899</v>
      </c>
      <c r="U55" s="466">
        <f t="shared" si="10"/>
        <v>205045.47717499899</v>
      </c>
    </row>
    <row r="56" spans="1:21" s="1" customFormat="1" ht="20.100000000000001" customHeight="1">
      <c r="A56" s="8">
        <v>7</v>
      </c>
      <c r="B56" s="16" t="s">
        <v>135</v>
      </c>
      <c r="C56" s="10" t="s">
        <v>136</v>
      </c>
      <c r="D56" s="13" t="s">
        <v>111</v>
      </c>
      <c r="E56" s="70">
        <v>294900.83333333401</v>
      </c>
      <c r="F56" s="70">
        <v>1650</v>
      </c>
      <c r="G56" s="186"/>
      <c r="H56" s="186">
        <v>50000</v>
      </c>
      <c r="I56" s="70"/>
      <c r="J56" s="466">
        <f t="shared" si="6"/>
        <v>346550.83333333401</v>
      </c>
      <c r="K56" s="70"/>
      <c r="L56" s="638">
        <v>100000</v>
      </c>
      <c r="M56" s="638"/>
      <c r="N56" s="638"/>
      <c r="O56" s="780">
        <v>20453.13</v>
      </c>
      <c r="P56" s="2"/>
      <c r="Q56" s="638">
        <v>38685.578000000103</v>
      </c>
      <c r="R56" s="639">
        <v>23592.066666666698</v>
      </c>
      <c r="S56" s="467">
        <f t="shared" si="9"/>
        <v>182730.77466666701</v>
      </c>
      <c r="T56" s="70">
        <v>178973.188666667</v>
      </c>
      <c r="U56" s="466">
        <f t="shared" si="10"/>
        <v>163820.058666667</v>
      </c>
    </row>
    <row r="57" spans="1:21" ht="19.5" customHeight="1">
      <c r="A57" s="8"/>
      <c r="B57" s="12"/>
      <c r="C57" s="19">
        <v>7</v>
      </c>
      <c r="D57" s="8"/>
      <c r="E57" s="187">
        <f>SUM(E50:E56)</f>
        <v>4295459.9999999898</v>
      </c>
      <c r="F57" s="187">
        <f t="shared" ref="F57:S57" si="11">SUM(F50:F56)</f>
        <v>1650</v>
      </c>
      <c r="G57" s="187">
        <f t="shared" si="11"/>
        <v>0</v>
      </c>
      <c r="H57" s="187">
        <f t="shared" si="11"/>
        <v>470000</v>
      </c>
      <c r="I57" s="187">
        <f t="shared" si="11"/>
        <v>0</v>
      </c>
      <c r="J57" s="466">
        <f t="shared" si="6"/>
        <v>4767109.9999999898</v>
      </c>
      <c r="K57" s="187">
        <f t="shared" si="11"/>
        <v>0</v>
      </c>
      <c r="L57" s="187">
        <f t="shared" si="11"/>
        <v>600000</v>
      </c>
      <c r="M57" s="187">
        <f t="shared" si="11"/>
        <v>630545.35</v>
      </c>
      <c r="N57" s="187">
        <f t="shared" si="11"/>
        <v>20000</v>
      </c>
      <c r="O57" s="187">
        <f t="shared" si="11"/>
        <v>124859.63</v>
      </c>
      <c r="P57" s="187">
        <f t="shared" si="11"/>
        <v>17164.479166666701</v>
      </c>
      <c r="Q57" s="187">
        <f t="shared" si="11"/>
        <v>689908.70684999903</v>
      </c>
      <c r="R57" s="187">
        <f t="shared" si="11"/>
        <v>343636.8</v>
      </c>
      <c r="S57" s="187">
        <f t="shared" si="11"/>
        <v>2426114.9660166702</v>
      </c>
      <c r="T57" s="187">
        <v>2460554.6639833301</v>
      </c>
      <c r="U57" s="187">
        <f>SUM(U50:U56)</f>
        <v>2340995.0339833298</v>
      </c>
    </row>
    <row r="58" spans="1:21" ht="20.100000000000001" customHeight="1">
      <c r="A58" s="8"/>
      <c r="B58" s="12"/>
      <c r="C58" s="2"/>
      <c r="D58" s="8"/>
      <c r="E58" s="187"/>
      <c r="F58" s="187"/>
      <c r="G58" s="186"/>
      <c r="H58" s="186"/>
      <c r="I58" s="187"/>
      <c r="J58" s="466">
        <f t="shared" si="6"/>
        <v>0</v>
      </c>
      <c r="K58" s="187"/>
      <c r="L58" s="187"/>
      <c r="M58" s="187"/>
      <c r="N58" s="187"/>
      <c r="O58" s="187"/>
      <c r="P58" s="187"/>
      <c r="Q58" s="187"/>
      <c r="R58" s="187"/>
      <c r="S58" s="467"/>
      <c r="T58" s="70"/>
      <c r="U58" s="466"/>
    </row>
    <row r="59" spans="1:21" ht="20.100000000000001" customHeight="1">
      <c r="A59" s="8"/>
      <c r="B59" s="21" t="s">
        <v>137</v>
      </c>
      <c r="C59" s="3"/>
      <c r="D59" s="22"/>
      <c r="E59" s="187"/>
      <c r="F59" s="187"/>
      <c r="G59" s="186"/>
      <c r="H59" s="186"/>
      <c r="I59" s="70"/>
      <c r="J59" s="466">
        <f t="shared" si="6"/>
        <v>0</v>
      </c>
      <c r="K59" s="70"/>
      <c r="L59" s="70"/>
      <c r="M59" s="70"/>
      <c r="N59" s="70"/>
      <c r="O59" s="70"/>
      <c r="P59" s="70"/>
      <c r="Q59" s="70"/>
      <c r="R59" s="70"/>
      <c r="S59" s="467"/>
      <c r="T59" s="70"/>
      <c r="U59" s="466"/>
    </row>
    <row r="60" spans="1:21" ht="20.100000000000001" customHeight="1">
      <c r="A60" s="8">
        <v>1</v>
      </c>
      <c r="B60" s="9" t="s">
        <v>138</v>
      </c>
      <c r="C60" s="2" t="s">
        <v>139</v>
      </c>
      <c r="D60" s="8" t="s">
        <v>140</v>
      </c>
      <c r="E60" s="70">
        <v>1697359.33333333</v>
      </c>
      <c r="F60" s="70"/>
      <c r="G60" s="186">
        <f>200000</f>
        <v>200000</v>
      </c>
      <c r="H60" s="186"/>
      <c r="I60" s="70"/>
      <c r="J60" s="466">
        <f t="shared" si="6"/>
        <v>1897359.33333333</v>
      </c>
      <c r="K60" s="70"/>
      <c r="L60" s="70">
        <f>80000+23000+300000</f>
        <v>403000</v>
      </c>
      <c r="M60" s="70">
        <f>246905.96</f>
        <v>246905.96</v>
      </c>
      <c r="N60" s="70">
        <v>150000</v>
      </c>
      <c r="O60" s="70"/>
      <c r="P60" s="70"/>
      <c r="Q60" s="70">
        <v>322429.82319999899</v>
      </c>
      <c r="R60" s="70">
        <v>135788.746666666</v>
      </c>
      <c r="S60" s="467">
        <f t="shared" ref="S60:S71" si="12">SUM(K60:R60)</f>
        <v>1258124.52986667</v>
      </c>
      <c r="T60" s="70">
        <v>639234.80346666498</v>
      </c>
      <c r="U60" s="466">
        <f>J60-S60</f>
        <v>639234.80346666498</v>
      </c>
    </row>
    <row r="61" spans="1:21" ht="20.100000000000001" customHeight="1">
      <c r="A61" s="8">
        <v>2</v>
      </c>
      <c r="B61" s="9" t="s">
        <v>141</v>
      </c>
      <c r="C61" s="2" t="s">
        <v>142</v>
      </c>
      <c r="D61" s="8" t="s">
        <v>39</v>
      </c>
      <c r="E61" s="70">
        <v>744477</v>
      </c>
      <c r="F61" s="70"/>
      <c r="G61" s="186">
        <f t="shared" ref="G61:G65" si="13">160000</f>
        <v>160000</v>
      </c>
      <c r="H61" s="186"/>
      <c r="I61" s="70"/>
      <c r="J61" s="466">
        <f t="shared" si="6"/>
        <v>904477</v>
      </c>
      <c r="K61" s="70"/>
      <c r="L61" s="70">
        <f>30000</f>
        <v>30000</v>
      </c>
      <c r="M61" s="70">
        <v>223059.88</v>
      </c>
      <c r="N61" s="70"/>
      <c r="O61" s="70"/>
      <c r="P61" s="70"/>
      <c r="Q61" s="70">
        <v>134585.39120000001</v>
      </c>
      <c r="R61" s="70">
        <v>59558.16</v>
      </c>
      <c r="S61" s="467">
        <f t="shared" si="12"/>
        <v>447203.43119999999</v>
      </c>
      <c r="T61" s="70">
        <v>457273.56880000001</v>
      </c>
      <c r="U61" s="466">
        <f t="shared" ref="U61:U71" si="14">J61-S61</f>
        <v>457273.56880000001</v>
      </c>
    </row>
    <row r="62" spans="1:21" ht="20.100000000000001" customHeight="1">
      <c r="A62" s="8">
        <v>3</v>
      </c>
      <c r="B62" s="9" t="s">
        <v>143</v>
      </c>
      <c r="C62" s="2" t="s">
        <v>142</v>
      </c>
      <c r="D62" s="8" t="s">
        <v>39</v>
      </c>
      <c r="E62" s="70">
        <v>744477</v>
      </c>
      <c r="F62" s="70"/>
      <c r="G62" s="186">
        <f>140000+20000</f>
        <v>160000</v>
      </c>
      <c r="H62" s="186"/>
      <c r="I62" s="70">
        <v>0</v>
      </c>
      <c r="J62" s="466">
        <f t="shared" si="6"/>
        <v>904477</v>
      </c>
      <c r="K62" s="70"/>
      <c r="L62" s="70"/>
      <c r="M62" s="70"/>
      <c r="N62" s="70">
        <v>50000</v>
      </c>
      <c r="O62" s="70">
        <v>30855</v>
      </c>
      <c r="P62" s="70">
        <v>11475.262500000001</v>
      </c>
      <c r="Q62" s="70">
        <v>132519.84395000001</v>
      </c>
      <c r="R62" s="70">
        <v>59558.16</v>
      </c>
      <c r="S62" s="467">
        <f t="shared" si="12"/>
        <v>284408.26645</v>
      </c>
      <c r="T62" s="70">
        <v>650923.73355</v>
      </c>
      <c r="U62" s="466">
        <f t="shared" si="14"/>
        <v>620068.73355</v>
      </c>
    </row>
    <row r="63" spans="1:21" ht="20.100000000000001" customHeight="1">
      <c r="A63" s="8">
        <v>4</v>
      </c>
      <c r="B63" s="9" t="s">
        <v>144</v>
      </c>
      <c r="C63" s="2" t="s">
        <v>142</v>
      </c>
      <c r="D63" s="8" t="s">
        <v>39</v>
      </c>
      <c r="E63" s="70">
        <v>744477</v>
      </c>
      <c r="F63" s="70"/>
      <c r="G63" s="186">
        <f>140000+20000</f>
        <v>160000</v>
      </c>
      <c r="H63" s="186"/>
      <c r="I63" s="70"/>
      <c r="J63" s="466">
        <f t="shared" si="6"/>
        <v>904477</v>
      </c>
      <c r="K63" s="70"/>
      <c r="L63" s="70">
        <f>15000</f>
        <v>15000</v>
      </c>
      <c r="M63" s="70">
        <v>198731.33</v>
      </c>
      <c r="N63" s="70"/>
      <c r="O63" s="70"/>
      <c r="P63" s="70"/>
      <c r="Q63" s="70">
        <v>134585.39120000001</v>
      </c>
      <c r="R63" s="70">
        <v>59558.16</v>
      </c>
      <c r="S63" s="467">
        <f t="shared" si="12"/>
        <v>407874.8812</v>
      </c>
      <c r="T63" s="70">
        <v>496602.1188</v>
      </c>
      <c r="U63" s="466">
        <f t="shared" si="14"/>
        <v>496602.1188</v>
      </c>
    </row>
    <row r="64" spans="1:21" ht="20.100000000000001" customHeight="1">
      <c r="A64" s="8">
        <v>5</v>
      </c>
      <c r="B64" s="12" t="s">
        <v>145</v>
      </c>
      <c r="C64" s="2" t="s">
        <v>142</v>
      </c>
      <c r="D64" s="8" t="s">
        <v>50</v>
      </c>
      <c r="E64" s="70">
        <v>722595.5</v>
      </c>
      <c r="F64" s="70"/>
      <c r="G64" s="186">
        <f t="shared" si="13"/>
        <v>160000</v>
      </c>
      <c r="H64" s="186"/>
      <c r="I64" s="70"/>
      <c r="J64" s="466">
        <f t="shared" si="6"/>
        <v>882595.5</v>
      </c>
      <c r="K64" s="70"/>
      <c r="L64" s="70"/>
      <c r="M64" s="70"/>
      <c r="N64" s="70">
        <v>20000</v>
      </c>
      <c r="O64" s="70"/>
      <c r="P64" s="70">
        <v>0</v>
      </c>
      <c r="Q64" s="70">
        <v>130961.81479999999</v>
      </c>
      <c r="R64" s="70">
        <v>57807.64</v>
      </c>
      <c r="S64" s="467">
        <f t="shared" si="12"/>
        <v>208769.45480000001</v>
      </c>
      <c r="T64" s="70">
        <v>673826.04520000005</v>
      </c>
      <c r="U64" s="466">
        <f t="shared" si="14"/>
        <v>673826.04520000005</v>
      </c>
    </row>
    <row r="65" spans="1:21" customFormat="1" ht="20.100000000000001" customHeight="1">
      <c r="A65" s="8">
        <v>6</v>
      </c>
      <c r="B65" s="12" t="s">
        <v>146</v>
      </c>
      <c r="C65" s="2" t="s">
        <v>142</v>
      </c>
      <c r="D65" s="8" t="s">
        <v>50</v>
      </c>
      <c r="E65" s="70">
        <v>722595.5</v>
      </c>
      <c r="F65" s="70"/>
      <c r="G65" s="186">
        <f t="shared" si="13"/>
        <v>160000</v>
      </c>
      <c r="H65" s="186"/>
      <c r="I65" s="70"/>
      <c r="J65" s="466">
        <f t="shared" si="6"/>
        <v>882595.5</v>
      </c>
      <c r="K65" s="70"/>
      <c r="L65" s="70">
        <v>100000</v>
      </c>
      <c r="M65" s="70"/>
      <c r="N65" s="70"/>
      <c r="O65" s="70"/>
      <c r="P65" s="70">
        <v>0</v>
      </c>
      <c r="Q65" s="70">
        <v>130961.81479999999</v>
      </c>
      <c r="R65" s="70">
        <v>57807.64</v>
      </c>
      <c r="S65" s="467">
        <f t="shared" si="12"/>
        <v>288769.45480000001</v>
      </c>
      <c r="T65" s="70">
        <v>591826.04520000005</v>
      </c>
      <c r="U65" s="466">
        <f t="shared" si="14"/>
        <v>593826.04520000005</v>
      </c>
    </row>
    <row r="66" spans="1:21" s="1" customFormat="1" ht="20.100000000000001" customHeight="1">
      <c r="A66" s="8">
        <v>7</v>
      </c>
      <c r="B66" s="16" t="s">
        <v>147</v>
      </c>
      <c r="C66" s="2" t="s">
        <v>148</v>
      </c>
      <c r="D66" s="13" t="s">
        <v>131</v>
      </c>
      <c r="E66" s="186">
        <v>454993.58333333302</v>
      </c>
      <c r="F66" s="70"/>
      <c r="G66" s="186">
        <f>110000</f>
        <v>110000</v>
      </c>
      <c r="H66" s="186"/>
      <c r="I66" s="70"/>
      <c r="J66" s="466">
        <f t="shared" si="6"/>
        <v>564993.58333333302</v>
      </c>
      <c r="K66" s="70"/>
      <c r="L66" s="70"/>
      <c r="M66" s="70"/>
      <c r="N66" s="70">
        <v>20000</v>
      </c>
      <c r="O66" s="70"/>
      <c r="P66" s="70"/>
      <c r="Q66" s="70">
        <v>77646.937399999995</v>
      </c>
      <c r="R66" s="70">
        <v>36399.486666666598</v>
      </c>
      <c r="S66" s="467">
        <f t="shared" si="12"/>
        <v>134046.42406666701</v>
      </c>
      <c r="T66" s="70">
        <v>430947.15926666599</v>
      </c>
      <c r="U66" s="466">
        <f t="shared" si="14"/>
        <v>430947.15926666599</v>
      </c>
    </row>
    <row r="67" spans="1:21" ht="20.100000000000001" customHeight="1">
      <c r="A67" s="8">
        <v>8</v>
      </c>
      <c r="B67" s="9" t="s">
        <v>149</v>
      </c>
      <c r="C67" s="2" t="s">
        <v>150</v>
      </c>
      <c r="D67" s="8" t="s">
        <v>151</v>
      </c>
      <c r="E67" s="70">
        <v>399131.16666666698</v>
      </c>
      <c r="F67" s="70"/>
      <c r="G67" s="186">
        <v>100000</v>
      </c>
      <c r="H67" s="186"/>
      <c r="I67" s="70"/>
      <c r="J67" s="466">
        <f t="shared" si="6"/>
        <v>499131.16666666698</v>
      </c>
      <c r="K67" s="70"/>
      <c r="L67" s="70"/>
      <c r="M67" s="70"/>
      <c r="N67" s="70"/>
      <c r="O67" s="70"/>
      <c r="P67" s="70"/>
      <c r="Q67" s="70">
        <v>66596.121200000096</v>
      </c>
      <c r="R67" s="70">
        <v>31930.493333333299</v>
      </c>
      <c r="S67" s="467">
        <f t="shared" si="12"/>
        <v>98526.614533333399</v>
      </c>
      <c r="T67" s="70">
        <v>400604.55213333399</v>
      </c>
      <c r="U67" s="466">
        <f t="shared" si="14"/>
        <v>400604.55213333399</v>
      </c>
    </row>
    <row r="68" spans="1:21" s="1" customFormat="1" ht="20.100000000000001" customHeight="1">
      <c r="A68" s="8">
        <v>9</v>
      </c>
      <c r="B68" s="9" t="s">
        <v>152</v>
      </c>
      <c r="C68" s="2" t="s">
        <v>83</v>
      </c>
      <c r="D68" s="8" t="s">
        <v>75</v>
      </c>
      <c r="E68" s="70">
        <v>381140.66666666599</v>
      </c>
      <c r="F68" s="70"/>
      <c r="G68" s="186">
        <f t="shared" ref="G68:G71" si="15">100000</f>
        <v>100000</v>
      </c>
      <c r="H68" s="186"/>
      <c r="I68" s="70"/>
      <c r="J68" s="466">
        <f t="shared" si="6"/>
        <v>481140.66666666599</v>
      </c>
      <c r="K68" s="70"/>
      <c r="L68" s="70"/>
      <c r="M68" s="70"/>
      <c r="N68" s="70"/>
      <c r="O68" s="70"/>
      <c r="P68" s="70"/>
      <c r="Q68" s="70">
        <v>63616.894399999903</v>
      </c>
      <c r="R68" s="70">
        <v>30491.253333333301</v>
      </c>
      <c r="S68" s="467">
        <f t="shared" si="12"/>
        <v>94108.1477333332</v>
      </c>
      <c r="T68" s="70">
        <v>387032.51893333299</v>
      </c>
      <c r="U68" s="466">
        <f t="shared" si="14"/>
        <v>387032.51893333299</v>
      </c>
    </row>
    <row r="69" spans="1:21" ht="20.100000000000001" customHeight="1">
      <c r="A69" s="8">
        <v>10</v>
      </c>
      <c r="B69" s="9" t="s">
        <v>153</v>
      </c>
      <c r="C69" s="2" t="s">
        <v>150</v>
      </c>
      <c r="D69" s="8" t="s">
        <v>154</v>
      </c>
      <c r="E69" s="70">
        <v>355320.66666666698</v>
      </c>
      <c r="F69" s="70"/>
      <c r="G69" s="186">
        <f t="shared" si="15"/>
        <v>100000</v>
      </c>
      <c r="H69" s="186"/>
      <c r="I69" s="70"/>
      <c r="J69" s="466">
        <f t="shared" si="6"/>
        <v>455320.66666666698</v>
      </c>
      <c r="K69" s="70"/>
      <c r="L69" s="70"/>
      <c r="M69" s="70"/>
      <c r="N69" s="70"/>
      <c r="O69" s="70"/>
      <c r="P69" s="70"/>
      <c r="Q69" s="70">
        <v>59341.102400000098</v>
      </c>
      <c r="R69" s="70">
        <v>28425.653333333401</v>
      </c>
      <c r="S69" s="467">
        <f t="shared" si="12"/>
        <v>87766.755733333499</v>
      </c>
      <c r="T69" s="70">
        <v>367553.91093333298</v>
      </c>
      <c r="U69" s="466">
        <f t="shared" si="14"/>
        <v>367553.91093333298</v>
      </c>
    </row>
    <row r="70" spans="1:21" ht="20.100000000000001" customHeight="1">
      <c r="A70" s="8">
        <v>11</v>
      </c>
      <c r="B70" s="9" t="s">
        <v>155</v>
      </c>
      <c r="C70" s="2" t="s">
        <v>150</v>
      </c>
      <c r="D70" s="8" t="s">
        <v>154</v>
      </c>
      <c r="E70" s="70">
        <v>355320.66666666698</v>
      </c>
      <c r="F70" s="70"/>
      <c r="G70" s="186">
        <f t="shared" si="15"/>
        <v>100000</v>
      </c>
      <c r="H70" s="186"/>
      <c r="I70" s="70"/>
      <c r="J70" s="466">
        <f t="shared" ref="J70:J101" si="16">E70+F70+G70+H70+I70</f>
        <v>455320.66666666698</v>
      </c>
      <c r="K70" s="70"/>
      <c r="L70" s="70"/>
      <c r="M70" s="70"/>
      <c r="N70" s="70"/>
      <c r="O70" s="70"/>
      <c r="P70" s="70"/>
      <c r="Q70" s="70">
        <v>59341.102400000098</v>
      </c>
      <c r="R70" s="70">
        <v>28425.653333333401</v>
      </c>
      <c r="S70" s="467">
        <f t="shared" si="12"/>
        <v>87766.755733333499</v>
      </c>
      <c r="T70" s="70">
        <v>367553.91093333298</v>
      </c>
      <c r="U70" s="466">
        <f t="shared" si="14"/>
        <v>367553.91093333298</v>
      </c>
    </row>
    <row r="71" spans="1:21" s="1" customFormat="1" ht="18.75" customHeight="1">
      <c r="A71" s="8">
        <v>12</v>
      </c>
      <c r="B71" s="16" t="s">
        <v>156</v>
      </c>
      <c r="C71" s="2" t="s">
        <v>150</v>
      </c>
      <c r="D71" s="8" t="s">
        <v>99</v>
      </c>
      <c r="E71" s="70">
        <v>338711.66666666698</v>
      </c>
      <c r="F71" s="70"/>
      <c r="G71" s="186">
        <f t="shared" si="15"/>
        <v>100000</v>
      </c>
      <c r="H71" s="186"/>
      <c r="I71" s="70"/>
      <c r="J71" s="466">
        <f t="shared" si="16"/>
        <v>438711.66666666698</v>
      </c>
      <c r="K71" s="70"/>
      <c r="L71" s="70"/>
      <c r="M71" s="70"/>
      <c r="N71" s="70"/>
      <c r="O71" s="70"/>
      <c r="P71" s="70"/>
      <c r="Q71" s="70">
        <v>56590.652000000096</v>
      </c>
      <c r="R71" s="70">
        <v>27096.9333333334</v>
      </c>
      <c r="S71" s="467">
        <f t="shared" si="12"/>
        <v>83687.585333333496</v>
      </c>
      <c r="T71" s="70">
        <v>355024.08133333398</v>
      </c>
      <c r="U71" s="466">
        <f t="shared" si="14"/>
        <v>355024.08133333398</v>
      </c>
    </row>
    <row r="72" spans="1:21" ht="25.5" customHeight="1">
      <c r="A72" s="8"/>
      <c r="B72" s="18" t="s">
        <v>120</v>
      </c>
      <c r="C72" s="19">
        <v>12</v>
      </c>
      <c r="D72" s="19"/>
      <c r="E72" s="78">
        <f>SUM(E60:E71)</f>
        <v>7660599.75</v>
      </c>
      <c r="F72" s="78">
        <f t="shared" ref="F72:S72" si="17">SUM(F60:F71)</f>
        <v>0</v>
      </c>
      <c r="G72" s="78">
        <f t="shared" si="17"/>
        <v>1610000</v>
      </c>
      <c r="H72" s="78">
        <f t="shared" si="17"/>
        <v>0</v>
      </c>
      <c r="I72" s="78">
        <f t="shared" si="17"/>
        <v>0</v>
      </c>
      <c r="J72" s="466">
        <f t="shared" si="16"/>
        <v>9270599.75</v>
      </c>
      <c r="K72" s="78">
        <f t="shared" si="17"/>
        <v>0</v>
      </c>
      <c r="L72" s="78">
        <f t="shared" si="17"/>
        <v>548000</v>
      </c>
      <c r="M72" s="78">
        <f t="shared" si="17"/>
        <v>668697.17000000004</v>
      </c>
      <c r="N72" s="78">
        <f t="shared" si="17"/>
        <v>240000</v>
      </c>
      <c r="O72" s="78">
        <f t="shared" si="17"/>
        <v>30855</v>
      </c>
      <c r="P72" s="78">
        <f t="shared" si="17"/>
        <v>11475.262500000001</v>
      </c>
      <c r="Q72" s="78">
        <f t="shared" si="17"/>
        <v>1369176.8889500001</v>
      </c>
      <c r="R72" s="78">
        <f t="shared" si="17"/>
        <v>612847.97999999905</v>
      </c>
      <c r="S72" s="78">
        <f t="shared" si="17"/>
        <v>3481052.3014500001</v>
      </c>
      <c r="T72" s="78">
        <v>5818402.4485499999</v>
      </c>
      <c r="U72" s="78">
        <f>SUM(U60:U71)</f>
        <v>5789547.4485499999</v>
      </c>
    </row>
    <row r="73" spans="1:21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66">
        <f t="shared" si="16"/>
        <v>0</v>
      </c>
      <c r="K73" s="122"/>
      <c r="L73" s="122"/>
      <c r="M73" s="122"/>
      <c r="N73" s="122"/>
      <c r="O73" s="122"/>
      <c r="P73" s="122"/>
      <c r="Q73" s="122"/>
      <c r="R73" s="122"/>
      <c r="S73" s="474"/>
      <c r="T73" s="122"/>
      <c r="U73" s="473"/>
    </row>
    <row r="74" spans="1:21" ht="20.100000000000001" customHeight="1">
      <c r="A74" s="8"/>
      <c r="B74" s="18" t="s">
        <v>157</v>
      </c>
      <c r="C74" s="19"/>
      <c r="D74" s="19"/>
      <c r="E74" s="122"/>
      <c r="F74" s="122"/>
      <c r="G74" s="186"/>
      <c r="H74" s="186"/>
      <c r="I74" s="122"/>
      <c r="J74" s="466">
        <f t="shared" si="16"/>
        <v>0</v>
      </c>
      <c r="K74" s="122"/>
      <c r="L74" s="122"/>
      <c r="M74" s="122"/>
      <c r="N74" s="122"/>
      <c r="O74" s="122"/>
      <c r="P74" s="122"/>
      <c r="Q74" s="122"/>
      <c r="R74" s="122"/>
      <c r="S74" s="474"/>
      <c r="T74" s="122"/>
      <c r="U74" s="473"/>
    </row>
    <row r="75" spans="1:21" ht="20.100000000000001" customHeight="1">
      <c r="A75" s="8">
        <v>1</v>
      </c>
      <c r="B75" s="9" t="s">
        <v>158</v>
      </c>
      <c r="C75" s="10" t="s">
        <v>159</v>
      </c>
      <c r="D75" s="13" t="s">
        <v>124</v>
      </c>
      <c r="E75" s="70">
        <v>1747106.41666666</v>
      </c>
      <c r="F75" s="70"/>
      <c r="G75" s="186">
        <f>200000</f>
        <v>200000</v>
      </c>
      <c r="H75" s="186"/>
      <c r="I75" s="70">
        <v>0</v>
      </c>
      <c r="J75" s="466">
        <f t="shared" si="16"/>
        <v>1947106.41666666</v>
      </c>
      <c r="K75" s="70"/>
      <c r="L75" s="70">
        <v>250000</v>
      </c>
      <c r="M75" s="70"/>
      <c r="N75" s="70">
        <v>500000</v>
      </c>
      <c r="O75" s="70"/>
      <c r="P75" s="70">
        <v>0</v>
      </c>
      <c r="Q75" s="630">
        <v>332040.95969999902</v>
      </c>
      <c r="R75" s="630">
        <v>139768.51333333299</v>
      </c>
      <c r="S75" s="467">
        <f t="shared" ref="S75:S90" si="18">SUM(K75:R75)</f>
        <v>1221809.4730333299</v>
      </c>
      <c r="T75" s="70">
        <v>725296.94363332796</v>
      </c>
      <c r="U75" s="466">
        <f>J75-S75</f>
        <v>725296.94363332796</v>
      </c>
    </row>
    <row r="76" spans="1:21" ht="20.100000000000001" customHeight="1">
      <c r="A76" s="8">
        <v>2</v>
      </c>
      <c r="B76" s="9" t="s">
        <v>160</v>
      </c>
      <c r="C76" s="10" t="s">
        <v>161</v>
      </c>
      <c r="D76" s="13" t="s">
        <v>162</v>
      </c>
      <c r="E76" s="70">
        <v>744477</v>
      </c>
      <c r="F76" s="70"/>
      <c r="G76" s="186"/>
      <c r="H76" s="186">
        <v>80000</v>
      </c>
      <c r="I76" s="70"/>
      <c r="J76" s="466">
        <f t="shared" si="16"/>
        <v>824477</v>
      </c>
      <c r="K76" s="70"/>
      <c r="L76" s="70">
        <v>50000</v>
      </c>
      <c r="M76" s="70">
        <v>345000</v>
      </c>
      <c r="N76" s="70"/>
      <c r="O76" s="70"/>
      <c r="P76" s="70">
        <v>0</v>
      </c>
      <c r="Q76" s="630">
        <v>120185.3912</v>
      </c>
      <c r="R76" s="630">
        <v>59558.16</v>
      </c>
      <c r="S76" s="467">
        <f t="shared" si="18"/>
        <v>574743.55119999999</v>
      </c>
      <c r="T76" s="70">
        <v>249733.44880000001</v>
      </c>
      <c r="U76" s="466">
        <f>J76-S76</f>
        <v>249733.44880000001</v>
      </c>
    </row>
    <row r="77" spans="1:21" ht="20.100000000000001" customHeight="1">
      <c r="A77" s="8"/>
      <c r="B77" s="18" t="s">
        <v>120</v>
      </c>
      <c r="C77" s="19">
        <v>2</v>
      </c>
      <c r="D77" s="19"/>
      <c r="E77" s="78">
        <f>SUM(E75:E76)</f>
        <v>2491583.41666666</v>
      </c>
      <c r="F77" s="78">
        <f>SUM(F75:F76)</f>
        <v>0</v>
      </c>
      <c r="G77" s="78">
        <f t="shared" ref="G77:S77" si="19">SUM(G75:G76)</f>
        <v>200000</v>
      </c>
      <c r="H77" s="78">
        <f t="shared" si="19"/>
        <v>80000</v>
      </c>
      <c r="I77" s="78">
        <f t="shared" si="19"/>
        <v>0</v>
      </c>
      <c r="J77" s="466">
        <f t="shared" si="16"/>
        <v>2771583.41666666</v>
      </c>
      <c r="K77" s="78">
        <f t="shared" si="19"/>
        <v>0</v>
      </c>
      <c r="L77" s="78">
        <f t="shared" si="19"/>
        <v>300000</v>
      </c>
      <c r="M77" s="78">
        <f t="shared" si="19"/>
        <v>345000</v>
      </c>
      <c r="N77" s="78">
        <f t="shared" si="19"/>
        <v>500000</v>
      </c>
      <c r="O77" s="78">
        <f t="shared" si="19"/>
        <v>0</v>
      </c>
      <c r="P77" s="78">
        <f t="shared" si="19"/>
        <v>0</v>
      </c>
      <c r="Q77" s="78">
        <f t="shared" si="19"/>
        <v>452226.35089999897</v>
      </c>
      <c r="R77" s="78">
        <f t="shared" si="19"/>
        <v>199326.67333333299</v>
      </c>
      <c r="S77" s="78">
        <f t="shared" si="19"/>
        <v>1796553.02423333</v>
      </c>
      <c r="T77" s="78">
        <v>975030.39243332797</v>
      </c>
      <c r="U77" s="78">
        <f>SUM(U75:U76)</f>
        <v>975030.39243332797</v>
      </c>
    </row>
    <row r="78" spans="1:21" ht="20.100000000000001" customHeight="1">
      <c r="A78" s="8"/>
      <c r="B78" s="18"/>
      <c r="C78" s="19"/>
      <c r="D78" s="19"/>
      <c r="E78" s="122"/>
      <c r="F78" s="122"/>
      <c r="G78" s="186"/>
      <c r="H78" s="186"/>
      <c r="I78" s="122"/>
      <c r="J78" s="466">
        <f t="shared" si="16"/>
        <v>0</v>
      </c>
      <c r="K78" s="122"/>
      <c r="L78" s="122"/>
      <c r="M78" s="122"/>
      <c r="N78" s="122"/>
      <c r="O78" s="122"/>
      <c r="P78" s="122"/>
      <c r="Q78" s="122"/>
      <c r="R78" s="122"/>
      <c r="S78" s="474"/>
      <c r="T78" s="122"/>
      <c r="U78" s="473"/>
    </row>
    <row r="79" spans="1:21" ht="20.100000000000001" customHeight="1">
      <c r="A79" s="8"/>
      <c r="B79" s="18" t="s">
        <v>163</v>
      </c>
      <c r="C79" s="19"/>
      <c r="D79" s="19"/>
      <c r="E79" s="122"/>
      <c r="F79" s="122"/>
      <c r="G79" s="186"/>
      <c r="H79" s="186"/>
      <c r="I79" s="122"/>
      <c r="J79" s="466">
        <f t="shared" si="16"/>
        <v>0</v>
      </c>
      <c r="K79" s="122"/>
      <c r="L79" s="122"/>
      <c r="M79" s="122"/>
      <c r="N79" s="122"/>
      <c r="O79" s="122"/>
      <c r="P79" s="122"/>
      <c r="Q79" s="122"/>
      <c r="R79" s="122"/>
      <c r="S79" s="474"/>
      <c r="T79" s="122"/>
      <c r="U79" s="473"/>
    </row>
    <row r="80" spans="1:21" ht="20.100000000000001" customHeight="1">
      <c r="A80" s="8">
        <v>1</v>
      </c>
      <c r="B80" s="12" t="s">
        <v>164</v>
      </c>
      <c r="C80" s="2" t="s">
        <v>165</v>
      </c>
      <c r="D80" s="8" t="s">
        <v>36</v>
      </c>
      <c r="E80" s="70">
        <v>905306.75</v>
      </c>
      <c r="F80" s="70"/>
      <c r="G80" s="186">
        <v>180000</v>
      </c>
      <c r="H80" s="186"/>
      <c r="I80" s="70">
        <v>0</v>
      </c>
      <c r="J80" s="466">
        <f t="shared" si="16"/>
        <v>1085306.75</v>
      </c>
      <c r="K80" s="70"/>
      <c r="L80" s="70">
        <f>100000</f>
        <v>100000</v>
      </c>
      <c r="M80" s="70">
        <f>163103.59</f>
        <v>163103.59</v>
      </c>
      <c r="N80" s="70"/>
      <c r="O80" s="70"/>
      <c r="P80" s="70">
        <v>13866.737499999999</v>
      </c>
      <c r="Q80" s="70">
        <v>162322.78505000001</v>
      </c>
      <c r="R80" s="70">
        <v>72424.539999999994</v>
      </c>
      <c r="S80" s="467">
        <f t="shared" si="18"/>
        <v>511717.65255</v>
      </c>
      <c r="T80" s="70">
        <v>573589.09745</v>
      </c>
      <c r="U80" s="466">
        <f>J80-S80</f>
        <v>573589.09745</v>
      </c>
    </row>
    <row r="81" spans="1:21" ht="20.100000000000001" customHeight="1">
      <c r="A81" s="8">
        <v>2</v>
      </c>
      <c r="B81" s="9" t="s">
        <v>166</v>
      </c>
      <c r="C81" s="2" t="s">
        <v>52</v>
      </c>
      <c r="D81" s="8" t="s">
        <v>47</v>
      </c>
      <c r="E81" s="70">
        <v>573911.08333333395</v>
      </c>
      <c r="F81" s="70"/>
      <c r="G81" s="186">
        <v>140000</v>
      </c>
      <c r="H81" s="186"/>
      <c r="I81" s="70"/>
      <c r="J81" s="466">
        <f t="shared" si="16"/>
        <v>713911.08333333395</v>
      </c>
      <c r="K81" s="70"/>
      <c r="L81" s="70">
        <f>110000+90000</f>
        <v>200000</v>
      </c>
      <c r="M81" s="70"/>
      <c r="N81" s="70">
        <v>80000</v>
      </c>
      <c r="O81" s="70"/>
      <c r="P81" s="70"/>
      <c r="Q81" s="70">
        <v>102739.67539999999</v>
      </c>
      <c r="R81" s="70">
        <v>45912.886666666702</v>
      </c>
      <c r="S81" s="467">
        <f t="shared" si="18"/>
        <v>428652.56206666701</v>
      </c>
      <c r="T81" s="70">
        <v>285258.521266667</v>
      </c>
      <c r="U81" s="466">
        <f t="shared" ref="U81:U90" si="20">J81-S81</f>
        <v>285258.521266667</v>
      </c>
    </row>
    <row r="82" spans="1:21" s="1" customFormat="1" ht="20.100000000000001" customHeight="1">
      <c r="A82" s="8">
        <v>3</v>
      </c>
      <c r="B82" s="16" t="s">
        <v>167</v>
      </c>
      <c r="C82" s="15" t="s">
        <v>168</v>
      </c>
      <c r="D82" s="13" t="s">
        <v>64</v>
      </c>
      <c r="E82" s="70">
        <v>497472.75</v>
      </c>
      <c r="F82" s="70"/>
      <c r="G82" s="186">
        <f t="shared" ref="G82:G87" si="21">120000</f>
        <v>120000</v>
      </c>
      <c r="H82" s="186"/>
      <c r="I82" s="70">
        <v>0</v>
      </c>
      <c r="J82" s="466">
        <f t="shared" si="16"/>
        <v>617472.75</v>
      </c>
      <c r="K82" s="70"/>
      <c r="L82" s="70">
        <v>30000</v>
      </c>
      <c r="M82" s="70">
        <v>15000</v>
      </c>
      <c r="N82" s="70"/>
      <c r="O82" s="70"/>
      <c r="P82" s="70">
        <v>7791.8312500000002</v>
      </c>
      <c r="Q82" s="70">
        <v>85078.957775000003</v>
      </c>
      <c r="R82" s="70">
        <v>39797.82</v>
      </c>
      <c r="S82" s="467">
        <f t="shared" si="18"/>
        <v>177668.60902500001</v>
      </c>
      <c r="T82" s="70">
        <v>439804.14097499999</v>
      </c>
      <c r="U82" s="466">
        <f t="shared" si="20"/>
        <v>439804.14097499999</v>
      </c>
    </row>
    <row r="83" spans="1:21" s="1" customFormat="1" ht="20.100000000000001" customHeight="1">
      <c r="A83" s="8">
        <v>4</v>
      </c>
      <c r="B83" s="16" t="s">
        <v>169</v>
      </c>
      <c r="C83" s="15" t="s">
        <v>168</v>
      </c>
      <c r="D83" s="13" t="s">
        <v>64</v>
      </c>
      <c r="E83" s="70">
        <v>497472.75</v>
      </c>
      <c r="F83" s="70"/>
      <c r="G83" s="186">
        <f t="shared" si="21"/>
        <v>120000</v>
      </c>
      <c r="H83" s="186"/>
      <c r="I83" s="70">
        <v>0</v>
      </c>
      <c r="J83" s="466">
        <f t="shared" si="16"/>
        <v>617472.75</v>
      </c>
      <c r="K83" s="70"/>
      <c r="L83" s="70">
        <v>100000</v>
      </c>
      <c r="M83" s="70"/>
      <c r="N83" s="70">
        <v>50000</v>
      </c>
      <c r="O83" s="70"/>
      <c r="P83" s="70">
        <v>7791.8312500000002</v>
      </c>
      <c r="Q83" s="70">
        <v>85078.957775000003</v>
      </c>
      <c r="R83" s="70">
        <v>39797.82</v>
      </c>
      <c r="S83" s="467">
        <f t="shared" si="18"/>
        <v>282668.60902500001</v>
      </c>
      <c r="T83" s="70">
        <v>332804.14097499999</v>
      </c>
      <c r="U83" s="466">
        <f t="shared" si="20"/>
        <v>334804.14097499999</v>
      </c>
    </row>
    <row r="84" spans="1:21" ht="20.100000000000001" customHeight="1">
      <c r="A84" s="8">
        <v>5</v>
      </c>
      <c r="B84" s="9" t="s">
        <v>170</v>
      </c>
      <c r="C84" s="15" t="s">
        <v>168</v>
      </c>
      <c r="D84" s="8" t="s">
        <v>67</v>
      </c>
      <c r="E84" s="70">
        <v>482846.58333333302</v>
      </c>
      <c r="F84" s="70">
        <v>14126.0779569889</v>
      </c>
      <c r="G84" s="186">
        <f t="shared" si="21"/>
        <v>120000</v>
      </c>
      <c r="H84" s="186"/>
      <c r="I84" s="70">
        <v>0</v>
      </c>
      <c r="J84" s="466">
        <f t="shared" si="16"/>
        <v>616972.66129032196</v>
      </c>
      <c r="K84" s="70"/>
      <c r="L84" s="70">
        <v>10000</v>
      </c>
      <c r="M84" s="70">
        <f>163196.67</f>
        <v>163196.67000000001</v>
      </c>
      <c r="N84" s="70"/>
      <c r="O84" s="70"/>
      <c r="P84" s="70">
        <v>7571.9666666666699</v>
      </c>
      <c r="Q84" s="70">
        <v>85241.782632257906</v>
      </c>
      <c r="R84" s="70">
        <v>38627.726666666596</v>
      </c>
      <c r="S84" s="467">
        <f t="shared" si="18"/>
        <v>304638.14596559101</v>
      </c>
      <c r="T84" s="70">
        <v>292415.03306666698</v>
      </c>
      <c r="U84" s="466">
        <f t="shared" si="20"/>
        <v>312334.51532473101</v>
      </c>
    </row>
    <row r="85" spans="1:21" ht="20.100000000000001" customHeight="1">
      <c r="A85" s="8">
        <v>6</v>
      </c>
      <c r="B85" s="9" t="s">
        <v>171</v>
      </c>
      <c r="C85" s="15" t="s">
        <v>72</v>
      </c>
      <c r="D85" s="8" t="s">
        <v>172</v>
      </c>
      <c r="E85" s="70">
        <v>482662.66666666698</v>
      </c>
      <c r="F85" s="70"/>
      <c r="G85" s="186">
        <f t="shared" ref="G85:G86" si="22">110000</f>
        <v>110000</v>
      </c>
      <c r="H85" s="186"/>
      <c r="I85" s="70">
        <v>0</v>
      </c>
      <c r="J85" s="466">
        <f t="shared" si="16"/>
        <v>592662.66666666698</v>
      </c>
      <c r="K85" s="70"/>
      <c r="L85" s="70"/>
      <c r="M85" s="70"/>
      <c r="N85" s="70">
        <v>50000</v>
      </c>
      <c r="O85" s="70"/>
      <c r="P85" s="70"/>
      <c r="Q85" s="70">
        <v>82228.937600000005</v>
      </c>
      <c r="R85" s="70">
        <v>38613.013333333402</v>
      </c>
      <c r="S85" s="467">
        <f t="shared" si="18"/>
        <v>170841.95093333299</v>
      </c>
      <c r="T85" s="70">
        <v>421820.71573333401</v>
      </c>
      <c r="U85" s="466">
        <f t="shared" si="20"/>
        <v>421820.71573333401</v>
      </c>
    </row>
    <row r="86" spans="1:21" ht="20.100000000000001" customHeight="1">
      <c r="A86" s="8">
        <v>7</v>
      </c>
      <c r="B86" s="9" t="s">
        <v>173</v>
      </c>
      <c r="C86" s="15" t="s">
        <v>72</v>
      </c>
      <c r="D86" s="8" t="s">
        <v>172</v>
      </c>
      <c r="E86" s="70">
        <v>482662.66666666698</v>
      </c>
      <c r="F86" s="70"/>
      <c r="G86" s="186">
        <f t="shared" si="22"/>
        <v>110000</v>
      </c>
      <c r="H86" s="186"/>
      <c r="I86" s="70">
        <v>0</v>
      </c>
      <c r="J86" s="466">
        <f t="shared" si="16"/>
        <v>592662.66666666698</v>
      </c>
      <c r="K86" s="70"/>
      <c r="L86" s="70">
        <f>67000-2000</f>
        <v>65000</v>
      </c>
      <c r="M86" s="70"/>
      <c r="N86" s="70">
        <v>40000</v>
      </c>
      <c r="O86" s="70"/>
      <c r="P86" s="70"/>
      <c r="Q86" s="70">
        <v>82228.937600000005</v>
      </c>
      <c r="R86" s="70">
        <v>38613.013333333402</v>
      </c>
      <c r="S86" s="467">
        <f t="shared" si="18"/>
        <v>225841.95093333299</v>
      </c>
      <c r="T86" s="70">
        <v>366820.71573333401</v>
      </c>
      <c r="U86" s="466">
        <f t="shared" si="20"/>
        <v>366820.71573333401</v>
      </c>
    </row>
    <row r="87" spans="1:21" ht="20.100000000000001" customHeight="1">
      <c r="A87" s="8">
        <v>8</v>
      </c>
      <c r="B87" s="9" t="s">
        <v>174</v>
      </c>
      <c r="C87" s="2" t="s">
        <v>175</v>
      </c>
      <c r="D87" s="13" t="s">
        <v>67</v>
      </c>
      <c r="E87" s="70">
        <v>482846.58333333302</v>
      </c>
      <c r="F87" s="70"/>
      <c r="G87" s="186">
        <f t="shared" si="21"/>
        <v>120000</v>
      </c>
      <c r="H87" s="186"/>
      <c r="I87" s="70"/>
      <c r="J87" s="466">
        <f t="shared" si="16"/>
        <v>602846.58333333302</v>
      </c>
      <c r="K87" s="70"/>
      <c r="L87" s="70">
        <f>80000+20000</f>
        <v>100000</v>
      </c>
      <c r="M87" s="70"/>
      <c r="N87" s="70">
        <f>40000</f>
        <v>40000</v>
      </c>
      <c r="O87" s="70"/>
      <c r="P87" s="70"/>
      <c r="Q87" s="70">
        <v>84059.394199999893</v>
      </c>
      <c r="R87" s="70">
        <v>38627.726666666596</v>
      </c>
      <c r="S87" s="467">
        <f t="shared" si="18"/>
        <v>262687.12086666602</v>
      </c>
      <c r="T87" s="70">
        <v>340159.462466667</v>
      </c>
      <c r="U87" s="466">
        <f t="shared" si="20"/>
        <v>340159.462466667</v>
      </c>
    </row>
    <row r="88" spans="1:21" s="1" customFormat="1" ht="20.100000000000001" customHeight="1">
      <c r="A88" s="8">
        <v>9</v>
      </c>
      <c r="B88" s="12" t="s">
        <v>176</v>
      </c>
      <c r="C88" s="15" t="s">
        <v>177</v>
      </c>
      <c r="D88" s="8" t="s">
        <v>131</v>
      </c>
      <c r="E88" s="70">
        <v>454993.58333333302</v>
      </c>
      <c r="F88" s="70"/>
      <c r="G88" s="186">
        <v>110000</v>
      </c>
      <c r="H88" s="186"/>
      <c r="I88" s="70"/>
      <c r="J88" s="466">
        <f t="shared" si="16"/>
        <v>564993.58333333302</v>
      </c>
      <c r="K88" s="70"/>
      <c r="L88" s="70">
        <v>20000</v>
      </c>
      <c r="M88" s="70">
        <v>50000</v>
      </c>
      <c r="N88" s="70"/>
      <c r="O88" s="70"/>
      <c r="P88" s="70">
        <v>7161.1770833333303</v>
      </c>
      <c r="Q88" s="70">
        <v>76357.925524999897</v>
      </c>
      <c r="R88" s="70">
        <v>36399.486666666598</v>
      </c>
      <c r="S88" s="467">
        <f t="shared" si="18"/>
        <v>189918.58927500001</v>
      </c>
      <c r="T88" s="70">
        <v>375074.99405833299</v>
      </c>
      <c r="U88" s="466">
        <f t="shared" si="20"/>
        <v>375074.99405833299</v>
      </c>
    </row>
    <row r="89" spans="1:21" ht="21.6" customHeight="1">
      <c r="A89" s="8">
        <v>10</v>
      </c>
      <c r="B89" s="9" t="s">
        <v>178</v>
      </c>
      <c r="C89" s="2" t="s">
        <v>72</v>
      </c>
      <c r="D89" s="8" t="s">
        <v>179</v>
      </c>
      <c r="E89" s="186">
        <v>441159</v>
      </c>
      <c r="F89" s="70">
        <f>1000668.66111111+8750</f>
        <v>1009418.66111111</v>
      </c>
      <c r="G89" s="186">
        <v>110000</v>
      </c>
      <c r="H89" s="186"/>
      <c r="I89" s="70"/>
      <c r="J89" s="466">
        <f t="shared" si="16"/>
        <v>1560577.6611111099</v>
      </c>
      <c r="K89" s="2"/>
      <c r="L89" s="2"/>
      <c r="M89" s="2"/>
      <c r="N89" s="1107">
        <v>30000</v>
      </c>
      <c r="O89" s="860"/>
      <c r="P89" s="860">
        <v>6286.6979166666797</v>
      </c>
      <c r="Q89" s="70">
        <v>261608.198670832</v>
      </c>
      <c r="R89" s="70">
        <v>35292.720000000001</v>
      </c>
      <c r="S89" s="467">
        <f t="shared" si="18"/>
        <v>333187.61658749898</v>
      </c>
      <c r="T89" s="1109">
        <v>365449.45984166698</v>
      </c>
      <c r="U89" s="466">
        <f t="shared" si="20"/>
        <v>1227390.04452361</v>
      </c>
    </row>
    <row r="90" spans="1:21" s="1" customFormat="1" ht="18.75" customHeight="1">
      <c r="A90" s="8">
        <v>11</v>
      </c>
      <c r="B90" s="16" t="s">
        <v>180</v>
      </c>
      <c r="C90" s="2" t="s">
        <v>181</v>
      </c>
      <c r="D90" s="8" t="s">
        <v>99</v>
      </c>
      <c r="E90" s="70">
        <v>338711.66666666698</v>
      </c>
      <c r="F90" s="70"/>
      <c r="G90" s="186">
        <f>100000</f>
        <v>100000</v>
      </c>
      <c r="H90" s="186"/>
      <c r="I90" s="70"/>
      <c r="J90" s="466">
        <f t="shared" si="16"/>
        <v>438711.66666666698</v>
      </c>
      <c r="K90" s="70"/>
      <c r="L90" s="70"/>
      <c r="M90" s="70"/>
      <c r="N90" s="70">
        <v>50000</v>
      </c>
      <c r="O90" s="70"/>
      <c r="P90" s="70"/>
      <c r="Q90" s="70">
        <v>56590.652000000096</v>
      </c>
      <c r="R90" s="70">
        <v>27096.9333333334</v>
      </c>
      <c r="S90" s="467">
        <f t="shared" si="18"/>
        <v>133687.585333333</v>
      </c>
      <c r="T90" s="70">
        <v>303024.08133333398</v>
      </c>
      <c r="U90" s="466">
        <f t="shared" si="20"/>
        <v>305024.08133333398</v>
      </c>
    </row>
    <row r="91" spans="1:21" ht="27" customHeight="1">
      <c r="A91" s="8"/>
      <c r="B91" s="18" t="s">
        <v>120</v>
      </c>
      <c r="C91" s="19">
        <v>11</v>
      </c>
      <c r="D91" s="19"/>
      <c r="E91" s="78">
        <f t="shared" ref="E91:O91" si="23">SUM(E80:E90)</f>
        <v>5640046.0833333302</v>
      </c>
      <c r="F91" s="78">
        <f t="shared" si="23"/>
        <v>1023544.7390681</v>
      </c>
      <c r="G91" s="78">
        <f t="shared" si="23"/>
        <v>1340000</v>
      </c>
      <c r="H91" s="78">
        <f t="shared" si="23"/>
        <v>0</v>
      </c>
      <c r="I91" s="78">
        <f t="shared" si="23"/>
        <v>0</v>
      </c>
      <c r="J91" s="466">
        <f t="shared" si="16"/>
        <v>8003590.8224014305</v>
      </c>
      <c r="K91" s="78">
        <f t="shared" si="23"/>
        <v>0</v>
      </c>
      <c r="L91" s="78">
        <f t="shared" si="23"/>
        <v>625000</v>
      </c>
      <c r="M91" s="78">
        <f t="shared" si="23"/>
        <v>391300.26</v>
      </c>
      <c r="N91" s="78">
        <f t="shared" si="23"/>
        <v>340000</v>
      </c>
      <c r="O91" s="78">
        <f t="shared" si="23"/>
        <v>0</v>
      </c>
      <c r="P91" s="78">
        <f t="shared" ref="P91:U91" si="24">SUM(P80:P90)</f>
        <v>50470.241666666698</v>
      </c>
      <c r="Q91" s="78">
        <f t="shared" si="24"/>
        <v>1163536.2042280899</v>
      </c>
      <c r="R91" s="78">
        <f t="shared" si="24"/>
        <v>451203.686666667</v>
      </c>
      <c r="S91" s="78">
        <f t="shared" si="24"/>
        <v>3021510.3925614199</v>
      </c>
      <c r="T91" s="78">
        <v>4096220.3629000001</v>
      </c>
      <c r="U91" s="78">
        <f t="shared" si="24"/>
        <v>4982080.4298400097</v>
      </c>
    </row>
    <row r="92" spans="1:21" ht="20.100000000000001" customHeight="1">
      <c r="A92" s="8"/>
      <c r="B92" s="20"/>
      <c r="C92" s="19"/>
      <c r="D92" s="19"/>
      <c r="E92" s="122"/>
      <c r="F92" s="122"/>
      <c r="G92" s="186"/>
      <c r="H92" s="186"/>
      <c r="I92" s="122"/>
      <c r="J92" s="466">
        <f t="shared" si="16"/>
        <v>0</v>
      </c>
      <c r="K92" s="122"/>
      <c r="L92" s="122"/>
      <c r="M92" s="122"/>
      <c r="N92" s="122"/>
      <c r="O92" s="122"/>
      <c r="P92" s="122"/>
      <c r="Q92" s="122"/>
      <c r="R92" s="122"/>
      <c r="S92" s="474"/>
      <c r="T92" s="122"/>
      <c r="U92" s="473"/>
    </row>
    <row r="93" spans="1:21" ht="20.100000000000001" customHeight="1">
      <c r="A93" s="8"/>
      <c r="B93" s="18" t="s">
        <v>182</v>
      </c>
      <c r="C93" s="19"/>
      <c r="D93" s="19"/>
      <c r="E93" s="122"/>
      <c r="F93" s="122"/>
      <c r="G93" s="186"/>
      <c r="H93" s="186"/>
      <c r="I93" s="122"/>
      <c r="J93" s="466">
        <f t="shared" si="16"/>
        <v>0</v>
      </c>
      <c r="K93" s="122"/>
      <c r="L93" s="122"/>
      <c r="M93" s="122"/>
      <c r="N93" s="122"/>
      <c r="O93" s="122"/>
      <c r="P93" s="122"/>
      <c r="Q93" s="122"/>
      <c r="R93" s="122"/>
      <c r="S93" s="474"/>
      <c r="T93" s="122"/>
      <c r="U93" s="473"/>
    </row>
    <row r="94" spans="1:21" ht="20.100000000000001" customHeight="1">
      <c r="A94" s="8">
        <v>1</v>
      </c>
      <c r="B94" s="9" t="s">
        <v>183</v>
      </c>
      <c r="C94" s="2" t="s">
        <v>184</v>
      </c>
      <c r="D94" s="8" t="s">
        <v>124</v>
      </c>
      <c r="E94" s="70">
        <v>1747106.41666666</v>
      </c>
      <c r="F94" s="70"/>
      <c r="G94" s="186">
        <f>200000</f>
        <v>200000</v>
      </c>
      <c r="H94" s="186"/>
      <c r="I94" s="70">
        <v>0</v>
      </c>
      <c r="J94" s="466">
        <f t="shared" si="16"/>
        <v>1947106.41666666</v>
      </c>
      <c r="K94" s="70"/>
      <c r="L94" s="70">
        <v>350000</v>
      </c>
      <c r="M94" s="70">
        <f>0</f>
        <v>0</v>
      </c>
      <c r="N94" s="70">
        <v>100000</v>
      </c>
      <c r="O94" s="70"/>
      <c r="P94" s="70"/>
      <c r="Q94" s="70">
        <v>332040.95969999902</v>
      </c>
      <c r="R94" s="70">
        <v>139768.51333333299</v>
      </c>
      <c r="S94" s="467">
        <f t="shared" ref="S94:S104" si="25">SUM(K94:R94)</f>
        <v>921809.47303333203</v>
      </c>
      <c r="T94" s="70">
        <v>1025296.9436333301</v>
      </c>
      <c r="U94" s="466">
        <f>J94-S94</f>
        <v>1025296.9436333301</v>
      </c>
    </row>
    <row r="95" spans="1:21" ht="20.100000000000001" customHeight="1">
      <c r="A95" s="8">
        <v>2</v>
      </c>
      <c r="B95" s="9" t="s">
        <v>185</v>
      </c>
      <c r="C95" s="2" t="s">
        <v>186</v>
      </c>
      <c r="D95" s="8" t="s">
        <v>50</v>
      </c>
      <c r="E95" s="70">
        <v>722595.5</v>
      </c>
      <c r="F95" s="70"/>
      <c r="G95" s="186">
        <v>160000</v>
      </c>
      <c r="H95" s="186"/>
      <c r="I95" s="70"/>
      <c r="J95" s="466">
        <f t="shared" si="16"/>
        <v>882595.5</v>
      </c>
      <c r="K95" s="70"/>
      <c r="L95" s="919">
        <f>50000</f>
        <v>50000</v>
      </c>
      <c r="M95" s="919">
        <f>144081</f>
        <v>144081</v>
      </c>
      <c r="N95" s="70"/>
      <c r="O95" s="70"/>
      <c r="P95" s="70"/>
      <c r="Q95" s="70">
        <v>130961.81479999999</v>
      </c>
      <c r="R95" s="70">
        <v>57807.64</v>
      </c>
      <c r="S95" s="467">
        <f t="shared" si="25"/>
        <v>382850.45480000001</v>
      </c>
      <c r="T95" s="70">
        <v>499745.04519999999</v>
      </c>
      <c r="U95" s="466">
        <f t="shared" ref="U95:U104" si="26">J95-S95</f>
        <v>499745.04519999999</v>
      </c>
    </row>
    <row r="96" spans="1:21" ht="20.100000000000001" customHeight="1">
      <c r="A96" s="8">
        <v>3</v>
      </c>
      <c r="B96" s="9" t="s">
        <v>187</v>
      </c>
      <c r="C96" s="2" t="s">
        <v>188</v>
      </c>
      <c r="D96" s="8" t="s">
        <v>50</v>
      </c>
      <c r="E96" s="70">
        <v>722595.5</v>
      </c>
      <c r="F96" s="70"/>
      <c r="G96" s="186">
        <v>160000</v>
      </c>
      <c r="H96" s="186"/>
      <c r="I96" s="70"/>
      <c r="J96" s="466">
        <f t="shared" si="16"/>
        <v>882595.5</v>
      </c>
      <c r="K96" s="70"/>
      <c r="L96" s="70"/>
      <c r="M96" s="70"/>
      <c r="N96" s="70"/>
      <c r="O96" s="70"/>
      <c r="P96" s="70"/>
      <c r="Q96" s="70">
        <v>130961.81479999999</v>
      </c>
      <c r="R96" s="70">
        <v>57807.64</v>
      </c>
      <c r="S96" s="467">
        <f t="shared" si="25"/>
        <v>188769.45480000001</v>
      </c>
      <c r="T96" s="70">
        <v>693826.04520000005</v>
      </c>
      <c r="U96" s="466">
        <f t="shared" si="26"/>
        <v>693826.04520000005</v>
      </c>
    </row>
    <row r="97" spans="1:21" ht="20.100000000000001" customHeight="1">
      <c r="A97" s="8">
        <v>4</v>
      </c>
      <c r="B97" s="9" t="s">
        <v>189</v>
      </c>
      <c r="C97" s="2" t="s">
        <v>190</v>
      </c>
      <c r="D97" s="13" t="s">
        <v>191</v>
      </c>
      <c r="E97" s="70">
        <v>589657</v>
      </c>
      <c r="F97" s="70"/>
      <c r="G97" s="186">
        <f>140000</f>
        <v>140000</v>
      </c>
      <c r="H97" s="186"/>
      <c r="I97" s="70">
        <v>0</v>
      </c>
      <c r="J97" s="466">
        <f t="shared" si="16"/>
        <v>729657</v>
      </c>
      <c r="K97" s="70"/>
      <c r="L97" s="70">
        <v>20000</v>
      </c>
      <c r="M97" s="70">
        <v>210785.51</v>
      </c>
      <c r="N97" s="70"/>
      <c r="O97" s="70"/>
      <c r="P97" s="70">
        <v>9160.4375</v>
      </c>
      <c r="Q97" s="70">
        <v>103698.32045</v>
      </c>
      <c r="R97" s="70">
        <v>47172.56</v>
      </c>
      <c r="S97" s="467">
        <f t="shared" si="25"/>
        <v>390816.82795000001</v>
      </c>
      <c r="T97" s="70">
        <v>338840.17204999999</v>
      </c>
      <c r="U97" s="466">
        <f t="shared" si="26"/>
        <v>338840.17204999999</v>
      </c>
    </row>
    <row r="98" spans="1:21" ht="20.100000000000001" customHeight="1">
      <c r="A98" s="8">
        <v>5</v>
      </c>
      <c r="B98" s="9" t="s">
        <v>192</v>
      </c>
      <c r="C98" s="10" t="s">
        <v>193</v>
      </c>
      <c r="D98" s="13" t="s">
        <v>64</v>
      </c>
      <c r="E98" s="70">
        <v>497472.75</v>
      </c>
      <c r="F98" s="70"/>
      <c r="G98" s="186">
        <v>120000</v>
      </c>
      <c r="H98" s="186"/>
      <c r="I98" s="70"/>
      <c r="J98" s="466">
        <f t="shared" si="16"/>
        <v>617472.75</v>
      </c>
      <c r="K98" s="70"/>
      <c r="L98" s="70"/>
      <c r="M98" s="70"/>
      <c r="N98" s="70"/>
      <c r="O98" s="70"/>
      <c r="P98" s="70">
        <v>7791.8312500000002</v>
      </c>
      <c r="Q98" s="70">
        <v>85078.957775000003</v>
      </c>
      <c r="R98" s="70">
        <v>39797.82</v>
      </c>
      <c r="S98" s="467">
        <f t="shared" si="25"/>
        <v>132668.60902500001</v>
      </c>
      <c r="T98" s="70">
        <v>484804.14097499999</v>
      </c>
      <c r="U98" s="466">
        <f t="shared" si="26"/>
        <v>484804.14097499999</v>
      </c>
    </row>
    <row r="99" spans="1:21" s="1" customFormat="1" ht="20.100000000000001" customHeight="1">
      <c r="A99" s="8">
        <v>6</v>
      </c>
      <c r="B99" s="9" t="s">
        <v>194</v>
      </c>
      <c r="C99" s="2" t="s">
        <v>195</v>
      </c>
      <c r="D99" s="13" t="s">
        <v>64</v>
      </c>
      <c r="E99" s="70">
        <v>497472.75</v>
      </c>
      <c r="F99" s="70"/>
      <c r="G99" s="186">
        <f>120000</f>
        <v>120000</v>
      </c>
      <c r="H99" s="186"/>
      <c r="I99" s="70">
        <v>0</v>
      </c>
      <c r="J99" s="466">
        <f t="shared" si="16"/>
        <v>617472.75</v>
      </c>
      <c r="K99" s="70"/>
      <c r="L99" s="70">
        <v>100000</v>
      </c>
      <c r="M99" s="70">
        <v>50000</v>
      </c>
      <c r="N99" s="70">
        <v>100000</v>
      </c>
      <c r="O99" s="70"/>
      <c r="P99" s="70"/>
      <c r="Q99" s="70">
        <v>86481.487399999998</v>
      </c>
      <c r="R99" s="70">
        <v>39797.82</v>
      </c>
      <c r="S99" s="467">
        <f t="shared" si="25"/>
        <v>376279.30739999999</v>
      </c>
      <c r="T99" s="70">
        <v>241193.44260000001</v>
      </c>
      <c r="U99" s="466">
        <f t="shared" si="26"/>
        <v>241193.44260000001</v>
      </c>
    </row>
    <row r="100" spans="1:21" ht="20.100000000000001" customHeight="1">
      <c r="A100" s="8">
        <v>7</v>
      </c>
      <c r="B100" s="9" t="s">
        <v>196</v>
      </c>
      <c r="C100" s="2" t="s">
        <v>197</v>
      </c>
      <c r="D100" s="8" t="s">
        <v>70</v>
      </c>
      <c r="E100" s="70">
        <v>468828.16666666698</v>
      </c>
      <c r="F100" s="70"/>
      <c r="G100" s="186">
        <f>110000</f>
        <v>110000</v>
      </c>
      <c r="H100" s="186"/>
      <c r="I100" s="70"/>
      <c r="J100" s="466">
        <f t="shared" si="16"/>
        <v>578828.16666666698</v>
      </c>
      <c r="K100" s="70"/>
      <c r="L100" s="70">
        <f>50000</f>
        <v>50000</v>
      </c>
      <c r="M100" s="70">
        <f>50000</f>
        <v>50000</v>
      </c>
      <c r="N100" s="70"/>
      <c r="O100" s="70"/>
      <c r="P100" s="70">
        <v>7366.5729166666797</v>
      </c>
      <c r="Q100" s="70">
        <v>78611.961275000096</v>
      </c>
      <c r="R100" s="70">
        <v>37506.253333333399</v>
      </c>
      <c r="S100" s="467">
        <f t="shared" si="25"/>
        <v>223484.78752499999</v>
      </c>
      <c r="T100" s="70">
        <v>355343.37914166698</v>
      </c>
      <c r="U100" s="466">
        <f t="shared" si="26"/>
        <v>355343.37914166698</v>
      </c>
    </row>
    <row r="101" spans="1:21" s="1" customFormat="1" ht="20.100000000000001" customHeight="1">
      <c r="A101" s="8">
        <v>8</v>
      </c>
      <c r="B101" s="9" t="s">
        <v>198</v>
      </c>
      <c r="C101" s="2" t="s">
        <v>199</v>
      </c>
      <c r="D101" s="8" t="s">
        <v>75</v>
      </c>
      <c r="E101" s="70">
        <v>381140.66666666599</v>
      </c>
      <c r="F101" s="70"/>
      <c r="G101" s="186">
        <f>100000</f>
        <v>100000</v>
      </c>
      <c r="H101" s="186"/>
      <c r="I101" s="70"/>
      <c r="J101" s="466">
        <f t="shared" si="16"/>
        <v>481140.66666666599</v>
      </c>
      <c r="K101" s="70"/>
      <c r="L101" s="70">
        <v>50000</v>
      </c>
      <c r="M101" s="70"/>
      <c r="N101" s="70"/>
      <c r="O101" s="70"/>
      <c r="P101" s="70"/>
      <c r="Q101" s="70">
        <v>63616.894399999903</v>
      </c>
      <c r="R101" s="70">
        <v>30491.253333333301</v>
      </c>
      <c r="S101" s="467">
        <f t="shared" si="25"/>
        <v>144108.147733333</v>
      </c>
      <c r="T101" s="70">
        <v>337032.51893333299</v>
      </c>
      <c r="U101" s="466">
        <f t="shared" si="26"/>
        <v>337032.51893333299</v>
      </c>
    </row>
    <row r="102" spans="1:21" ht="20.100000000000001" customHeight="1">
      <c r="A102" s="8">
        <v>9</v>
      </c>
      <c r="B102" s="9" t="s">
        <v>200</v>
      </c>
      <c r="C102" s="2" t="s">
        <v>181</v>
      </c>
      <c r="D102" s="8" t="s">
        <v>86</v>
      </c>
      <c r="E102" s="70">
        <v>347016.16666666599</v>
      </c>
      <c r="F102" s="70"/>
      <c r="G102" s="186">
        <v>100000</v>
      </c>
      <c r="H102" s="186"/>
      <c r="I102" s="70"/>
      <c r="J102" s="466">
        <f t="shared" ref="J102:J125" si="27">E102+F102+G102+H102+I102</f>
        <v>447016.16666666599</v>
      </c>
      <c r="K102" s="70"/>
      <c r="L102" s="70"/>
      <c r="M102" s="70"/>
      <c r="N102" s="70">
        <v>30000</v>
      </c>
      <c r="O102" s="70"/>
      <c r="P102" s="70">
        <v>5566.8645833333203</v>
      </c>
      <c r="Q102" s="70">
        <v>56963.841574999897</v>
      </c>
      <c r="R102" s="70">
        <v>27761.293333333299</v>
      </c>
      <c r="S102" s="467">
        <f t="shared" si="25"/>
        <v>120291.999491667</v>
      </c>
      <c r="T102" s="70">
        <v>326724.16717499902</v>
      </c>
      <c r="U102" s="466">
        <f t="shared" si="26"/>
        <v>326724.16717499902</v>
      </c>
    </row>
    <row r="103" spans="1:21" s="1" customFormat="1" ht="18.75" customHeight="1">
      <c r="A103" s="8">
        <v>10</v>
      </c>
      <c r="B103" s="16" t="s">
        <v>201</v>
      </c>
      <c r="C103" s="2" t="s">
        <v>181</v>
      </c>
      <c r="D103" s="8" t="s">
        <v>99</v>
      </c>
      <c r="E103" s="70">
        <v>338711.66666666698</v>
      </c>
      <c r="F103" s="70"/>
      <c r="G103" s="186">
        <f>100000</f>
        <v>100000</v>
      </c>
      <c r="H103" s="186"/>
      <c r="I103" s="70"/>
      <c r="J103" s="466">
        <f t="shared" si="27"/>
        <v>438711.66666666698</v>
      </c>
      <c r="K103" s="70"/>
      <c r="L103" s="70">
        <v>10000</v>
      </c>
      <c r="M103" s="70">
        <v>30000</v>
      </c>
      <c r="N103" s="70"/>
      <c r="O103" s="70"/>
      <c r="P103" s="70"/>
      <c r="Q103" s="70">
        <v>56590.652000000096</v>
      </c>
      <c r="R103" s="70">
        <v>27096.9333333334</v>
      </c>
      <c r="S103" s="467">
        <f t="shared" si="25"/>
        <v>123687.585333333</v>
      </c>
      <c r="T103" s="70">
        <v>315024.08133333398</v>
      </c>
      <c r="U103" s="466">
        <f t="shared" si="26"/>
        <v>315024.08133333398</v>
      </c>
    </row>
    <row r="104" spans="1:21" ht="20.100000000000001" customHeight="1">
      <c r="A104" s="8">
        <v>11</v>
      </c>
      <c r="B104" s="9" t="s">
        <v>202</v>
      </c>
      <c r="C104" s="2" t="s">
        <v>203</v>
      </c>
      <c r="D104" s="8" t="s">
        <v>105</v>
      </c>
      <c r="E104" s="70">
        <v>308920.66666666698</v>
      </c>
      <c r="F104" s="70"/>
      <c r="G104" s="186">
        <v>100000</v>
      </c>
      <c r="H104" s="186">
        <v>0</v>
      </c>
      <c r="I104" s="70"/>
      <c r="J104" s="466">
        <f t="shared" si="27"/>
        <v>408920.66666666698</v>
      </c>
      <c r="K104" s="70"/>
      <c r="L104" s="70">
        <v>80000</v>
      </c>
      <c r="M104" s="70">
        <v>50000</v>
      </c>
      <c r="N104" s="70"/>
      <c r="O104" s="70"/>
      <c r="P104" s="70"/>
      <c r="Q104" s="70">
        <v>51657.262400000101</v>
      </c>
      <c r="R104" s="70">
        <v>24713.653333333401</v>
      </c>
      <c r="S104" s="467">
        <f t="shared" si="25"/>
        <v>206370.915733334</v>
      </c>
      <c r="T104" s="70">
        <v>202549.750933334</v>
      </c>
      <c r="U104" s="466">
        <f t="shared" si="26"/>
        <v>202549.75093333301</v>
      </c>
    </row>
    <row r="105" spans="1:21" ht="20.100000000000001" customHeight="1">
      <c r="A105" s="8"/>
      <c r="B105" s="18" t="s">
        <v>120</v>
      </c>
      <c r="C105" s="19">
        <v>11</v>
      </c>
      <c r="D105" s="19"/>
      <c r="E105" s="78">
        <f>SUM(E94:E104)</f>
        <v>6621517.2499999898</v>
      </c>
      <c r="F105" s="78">
        <f t="shared" ref="F105:S105" si="28">SUM(F94:F104)</f>
        <v>0</v>
      </c>
      <c r="G105" s="78">
        <f t="shared" si="28"/>
        <v>1410000</v>
      </c>
      <c r="H105" s="78">
        <f t="shared" si="28"/>
        <v>0</v>
      </c>
      <c r="I105" s="78">
        <f t="shared" si="28"/>
        <v>0</v>
      </c>
      <c r="J105" s="466">
        <f t="shared" si="27"/>
        <v>8031517.2499999898</v>
      </c>
      <c r="K105" s="78">
        <f t="shared" si="28"/>
        <v>0</v>
      </c>
      <c r="L105" s="78">
        <f t="shared" si="28"/>
        <v>710000</v>
      </c>
      <c r="M105" s="78">
        <f t="shared" si="28"/>
        <v>534866.51</v>
      </c>
      <c r="N105" s="78">
        <f t="shared" si="28"/>
        <v>230000</v>
      </c>
      <c r="O105" s="78">
        <f t="shared" si="28"/>
        <v>0</v>
      </c>
      <c r="P105" s="78">
        <f t="shared" si="28"/>
        <v>29885.706249999999</v>
      </c>
      <c r="Q105" s="78">
        <f t="shared" si="28"/>
        <v>1176663.966575</v>
      </c>
      <c r="R105" s="78">
        <f t="shared" si="28"/>
        <v>529721.38</v>
      </c>
      <c r="S105" s="78">
        <f t="shared" si="28"/>
        <v>3211137.5628249999</v>
      </c>
      <c r="T105" s="78">
        <v>4820379.6871749898</v>
      </c>
      <c r="U105" s="78">
        <f>SUM(U94:U104)</f>
        <v>4820379.6871749898</v>
      </c>
    </row>
    <row r="106" spans="1:21" ht="20.100000000000001" customHeight="1">
      <c r="A106" s="8"/>
      <c r="B106" s="18"/>
      <c r="C106" s="19"/>
      <c r="D106" s="19"/>
      <c r="E106" s="122"/>
      <c r="F106" s="122"/>
      <c r="G106" s="186"/>
      <c r="H106" s="186"/>
      <c r="I106" s="122"/>
      <c r="J106" s="466">
        <f t="shared" si="27"/>
        <v>0</v>
      </c>
      <c r="K106" s="122"/>
      <c r="L106" s="122"/>
      <c r="M106" s="122"/>
      <c r="N106" s="122"/>
      <c r="O106" s="122"/>
      <c r="P106" s="122"/>
      <c r="Q106" s="122"/>
      <c r="R106" s="122"/>
      <c r="S106" s="467"/>
      <c r="T106" s="70"/>
      <c r="U106" s="466"/>
    </row>
    <row r="107" spans="1:21" ht="20.100000000000001" customHeight="1">
      <c r="A107" s="8"/>
      <c r="B107" s="18" t="s">
        <v>204</v>
      </c>
      <c r="C107" s="23"/>
      <c r="D107" s="19"/>
      <c r="E107" s="122"/>
      <c r="F107" s="122"/>
      <c r="G107" s="186"/>
      <c r="H107" s="186"/>
      <c r="I107" s="122"/>
      <c r="J107" s="466">
        <f t="shared" si="27"/>
        <v>0</v>
      </c>
      <c r="K107" s="122"/>
      <c r="L107" s="122"/>
      <c r="M107" s="122"/>
      <c r="N107" s="122"/>
      <c r="O107" s="122"/>
      <c r="P107" s="122"/>
      <c r="Q107" s="122"/>
      <c r="R107" s="122"/>
      <c r="S107" s="467"/>
      <c r="T107" s="70"/>
      <c r="U107" s="466"/>
    </row>
    <row r="108" spans="1:21" ht="20.100000000000001" customHeight="1">
      <c r="A108" s="8">
        <v>1</v>
      </c>
      <c r="B108" s="9" t="s">
        <v>205</v>
      </c>
      <c r="C108" s="2" t="s">
        <v>206</v>
      </c>
      <c r="D108" s="8" t="s">
        <v>140</v>
      </c>
      <c r="E108" s="70">
        <v>1697359.33333333</v>
      </c>
      <c r="F108" s="70"/>
      <c r="G108" s="186">
        <f>200000</f>
        <v>200000</v>
      </c>
      <c r="H108" s="186"/>
      <c r="I108" s="70"/>
      <c r="J108" s="466">
        <f t="shared" si="27"/>
        <v>1897359.33333333</v>
      </c>
      <c r="K108" s="70"/>
      <c r="L108" s="70">
        <f>30000</f>
        <v>30000</v>
      </c>
      <c r="M108" s="70">
        <v>98750</v>
      </c>
      <c r="N108" s="70"/>
      <c r="O108" s="70"/>
      <c r="P108" s="70">
        <v>26406.820833333299</v>
      </c>
      <c r="Q108" s="70">
        <v>316884.39082499902</v>
      </c>
      <c r="R108" s="70">
        <v>135788.746666666</v>
      </c>
      <c r="S108" s="467">
        <f t="shared" ref="S108:S120" si="29">SUM(K108:R108)</f>
        <v>607829.95832499804</v>
      </c>
      <c r="T108" s="70">
        <v>1289529.37500833</v>
      </c>
      <c r="U108" s="466">
        <f>J108-S108</f>
        <v>1289529.37500833</v>
      </c>
    </row>
    <row r="109" spans="1:21" ht="20.100000000000001" customHeight="1">
      <c r="A109" s="8">
        <v>2</v>
      </c>
      <c r="B109" s="9" t="s">
        <v>207</v>
      </c>
      <c r="C109" s="2" t="s">
        <v>208</v>
      </c>
      <c r="D109" s="8" t="s">
        <v>209</v>
      </c>
      <c r="E109" s="70">
        <v>879008.91666666698</v>
      </c>
      <c r="F109" s="70"/>
      <c r="G109" s="186">
        <f>180000</f>
        <v>180000</v>
      </c>
      <c r="H109" s="186"/>
      <c r="I109" s="70">
        <f>100000+100000</f>
        <v>200000</v>
      </c>
      <c r="J109" s="466">
        <f t="shared" si="27"/>
        <v>1259008.91666667</v>
      </c>
      <c r="K109" s="70"/>
      <c r="L109" s="70"/>
      <c r="M109" s="70"/>
      <c r="N109" s="70"/>
      <c r="O109" s="70"/>
      <c r="P109" s="70"/>
      <c r="Q109" s="70">
        <v>202124.52270000099</v>
      </c>
      <c r="R109" s="70">
        <v>70320.713333333406</v>
      </c>
      <c r="S109" s="467">
        <f t="shared" si="29"/>
        <v>272445.23603333399</v>
      </c>
      <c r="T109" s="70">
        <v>986563.68063333596</v>
      </c>
      <c r="U109" s="466">
        <f t="shared" ref="U109:U120" si="30">J109-S109</f>
        <v>986563.68063333596</v>
      </c>
    </row>
    <row r="110" spans="1:21" ht="20.100000000000001" customHeight="1">
      <c r="A110" s="8">
        <v>3</v>
      </c>
      <c r="B110" s="9" t="s">
        <v>210</v>
      </c>
      <c r="C110" s="2" t="s">
        <v>142</v>
      </c>
      <c r="D110" s="8" t="s">
        <v>39</v>
      </c>
      <c r="E110" s="70">
        <v>744477</v>
      </c>
      <c r="F110" s="70"/>
      <c r="G110" s="186">
        <v>160000</v>
      </c>
      <c r="H110" s="186"/>
      <c r="I110" s="70"/>
      <c r="J110" s="466">
        <f t="shared" si="27"/>
        <v>904477</v>
      </c>
      <c r="K110" s="70"/>
      <c r="L110" s="70">
        <f>50000</f>
        <v>50000</v>
      </c>
      <c r="M110" s="186"/>
      <c r="N110" s="186"/>
      <c r="O110" s="70"/>
      <c r="P110" s="70"/>
      <c r="Q110" s="70">
        <v>134585.39120000001</v>
      </c>
      <c r="R110" s="70">
        <v>59558.16</v>
      </c>
      <c r="S110" s="467">
        <f t="shared" si="29"/>
        <v>244143.55119999999</v>
      </c>
      <c r="T110" s="70">
        <v>660333.44880000001</v>
      </c>
      <c r="U110" s="466">
        <f t="shared" si="30"/>
        <v>660333.44880000001</v>
      </c>
    </row>
    <row r="111" spans="1:21" ht="21.6" customHeight="1">
      <c r="A111" s="8">
        <v>4</v>
      </c>
      <c r="B111" s="9" t="s">
        <v>211</v>
      </c>
      <c r="C111" s="2" t="s">
        <v>52</v>
      </c>
      <c r="D111" s="13" t="s">
        <v>47</v>
      </c>
      <c r="E111" s="70">
        <v>573911.08333333395</v>
      </c>
      <c r="F111" s="70"/>
      <c r="G111" s="186">
        <f>140000</f>
        <v>140000</v>
      </c>
      <c r="H111" s="186"/>
      <c r="I111" s="70">
        <v>0</v>
      </c>
      <c r="J111" s="466">
        <f t="shared" si="27"/>
        <v>713911.08333333395</v>
      </c>
      <c r="K111" s="70"/>
      <c r="L111" s="70">
        <f>50000</f>
        <v>50000</v>
      </c>
      <c r="M111" s="70"/>
      <c r="N111" s="70"/>
      <c r="O111" s="70"/>
      <c r="P111" s="70">
        <v>8926.6666666666806</v>
      </c>
      <c r="Q111" s="70">
        <v>101132.8754</v>
      </c>
      <c r="R111" s="70">
        <v>45912.886666666702</v>
      </c>
      <c r="S111" s="467">
        <f t="shared" si="29"/>
        <v>205972.42873333301</v>
      </c>
      <c r="T111" s="70">
        <v>507938.65460000001</v>
      </c>
      <c r="U111" s="466">
        <f t="shared" si="30"/>
        <v>507938.654600001</v>
      </c>
    </row>
    <row r="112" spans="1:21" ht="21.6" customHeight="1">
      <c r="A112" s="8">
        <v>5</v>
      </c>
      <c r="B112" s="9" t="s">
        <v>212</v>
      </c>
      <c r="C112" s="2" t="s">
        <v>52</v>
      </c>
      <c r="D112" s="13" t="s">
        <v>47</v>
      </c>
      <c r="E112" s="70">
        <v>573911.08333333395</v>
      </c>
      <c r="F112" s="70"/>
      <c r="G112" s="186">
        <f>140000</f>
        <v>140000</v>
      </c>
      <c r="H112" s="186"/>
      <c r="I112" s="70">
        <v>0</v>
      </c>
      <c r="J112" s="466">
        <f t="shared" si="27"/>
        <v>713911.08333333395</v>
      </c>
      <c r="K112" s="70"/>
      <c r="L112" s="70">
        <v>0</v>
      </c>
      <c r="M112" s="70">
        <v>0</v>
      </c>
      <c r="N112" s="70">
        <v>50000</v>
      </c>
      <c r="O112" s="70"/>
      <c r="P112" s="70">
        <v>8926.6666666666806</v>
      </c>
      <c r="Q112" s="70">
        <v>101132.8754</v>
      </c>
      <c r="R112" s="70">
        <v>45912.886666666702</v>
      </c>
      <c r="S112" s="467">
        <f t="shared" si="29"/>
        <v>205972.42873333301</v>
      </c>
      <c r="T112" s="70">
        <v>507938.65460000001</v>
      </c>
      <c r="U112" s="466">
        <f t="shared" si="30"/>
        <v>507938.654600001</v>
      </c>
    </row>
    <row r="113" spans="1:21" ht="21.6" customHeight="1">
      <c r="A113" s="8">
        <v>6</v>
      </c>
      <c r="B113" s="9" t="s">
        <v>213</v>
      </c>
      <c r="C113" s="10" t="s">
        <v>52</v>
      </c>
      <c r="D113" s="13" t="s">
        <v>214</v>
      </c>
      <c r="E113" s="70">
        <v>558166.25</v>
      </c>
      <c r="F113" s="70"/>
      <c r="G113" s="186">
        <f>140000</f>
        <v>140000</v>
      </c>
      <c r="H113" s="186"/>
      <c r="I113" s="70">
        <v>0</v>
      </c>
      <c r="J113" s="466">
        <f t="shared" si="27"/>
        <v>698166.25</v>
      </c>
      <c r="K113" s="70"/>
      <c r="L113" s="70">
        <f>100000-100000</f>
        <v>0</v>
      </c>
      <c r="M113" s="70"/>
      <c r="N113" s="70"/>
      <c r="O113" s="70"/>
      <c r="P113" s="70"/>
      <c r="Q113" s="70">
        <v>100132.33100000001</v>
      </c>
      <c r="R113" s="70">
        <v>44653.3</v>
      </c>
      <c r="S113" s="467">
        <f t="shared" si="29"/>
        <v>144785.63099999999</v>
      </c>
      <c r="T113" s="70">
        <v>553380.61899999995</v>
      </c>
      <c r="U113" s="466">
        <f t="shared" si="30"/>
        <v>553380.61899999995</v>
      </c>
    </row>
    <row r="114" spans="1:21" ht="21.6" customHeight="1">
      <c r="A114" s="8">
        <v>7</v>
      </c>
      <c r="B114" s="9" t="s">
        <v>215</v>
      </c>
      <c r="C114" s="15" t="s">
        <v>72</v>
      </c>
      <c r="D114" s="13" t="s">
        <v>172</v>
      </c>
      <c r="E114" s="70">
        <v>482662.66666666698</v>
      </c>
      <c r="F114" s="70"/>
      <c r="G114" s="186">
        <f t="shared" ref="G114" si="31">110000</f>
        <v>110000</v>
      </c>
      <c r="H114" s="186"/>
      <c r="I114" s="70">
        <v>0</v>
      </c>
      <c r="J114" s="466">
        <f t="shared" si="27"/>
        <v>592662.66666666698</v>
      </c>
      <c r="K114" s="70"/>
      <c r="L114" s="70">
        <f>20000</f>
        <v>20000</v>
      </c>
      <c r="M114" s="70">
        <v>112500</v>
      </c>
      <c r="N114" s="70">
        <v>20000</v>
      </c>
      <c r="O114" s="70"/>
      <c r="P114" s="70"/>
      <c r="Q114" s="70">
        <v>82228.937600000005</v>
      </c>
      <c r="R114" s="70">
        <v>38613.013333333402</v>
      </c>
      <c r="S114" s="467">
        <f t="shared" si="29"/>
        <v>273341.95093333302</v>
      </c>
      <c r="T114" s="70">
        <v>319320.71573333303</v>
      </c>
      <c r="U114" s="466">
        <f t="shared" si="30"/>
        <v>319320.71573333401</v>
      </c>
    </row>
    <row r="115" spans="1:21" ht="21.6" customHeight="1">
      <c r="A115" s="8">
        <v>8</v>
      </c>
      <c r="B115" s="9" t="s">
        <v>216</v>
      </c>
      <c r="C115" s="15" t="s">
        <v>217</v>
      </c>
      <c r="D115" s="13" t="s">
        <v>218</v>
      </c>
      <c r="E115" s="70">
        <v>512098.91666666698</v>
      </c>
      <c r="F115" s="70"/>
      <c r="G115" s="186">
        <v>120000</v>
      </c>
      <c r="H115" s="186"/>
      <c r="I115" s="70">
        <v>0</v>
      </c>
      <c r="J115" s="466">
        <f t="shared" si="27"/>
        <v>632098.91666666698</v>
      </c>
      <c r="K115" s="70"/>
      <c r="L115" s="70">
        <v>0</v>
      </c>
      <c r="M115" s="70"/>
      <c r="N115" s="70">
        <v>132000</v>
      </c>
      <c r="O115" s="70"/>
      <c r="P115" s="70">
        <v>8008.9770833333296</v>
      </c>
      <c r="Q115" s="70">
        <v>87461.964724999998</v>
      </c>
      <c r="R115" s="70">
        <v>40967.913333333301</v>
      </c>
      <c r="S115" s="467">
        <f t="shared" si="29"/>
        <v>268438.85514166701</v>
      </c>
      <c r="T115" s="70">
        <v>465660.06152500003</v>
      </c>
      <c r="U115" s="466">
        <f t="shared" si="30"/>
        <v>363660.06152500003</v>
      </c>
    </row>
    <row r="116" spans="1:21" s="1" customFormat="1" ht="20.100000000000001" customHeight="1">
      <c r="A116" s="8">
        <v>9</v>
      </c>
      <c r="B116" s="16" t="s">
        <v>219</v>
      </c>
      <c r="C116" s="2" t="s">
        <v>148</v>
      </c>
      <c r="D116" s="13" t="s">
        <v>131</v>
      </c>
      <c r="E116" s="186">
        <v>454993.58333333302</v>
      </c>
      <c r="F116" s="70">
        <v>3600</v>
      </c>
      <c r="G116" s="186">
        <f>110000</f>
        <v>110000</v>
      </c>
      <c r="H116" s="186"/>
      <c r="I116" s="70"/>
      <c r="J116" s="466">
        <f t="shared" si="27"/>
        <v>568593.58333333302</v>
      </c>
      <c r="K116" s="70"/>
      <c r="L116" s="70">
        <v>40000</v>
      </c>
      <c r="M116" s="70">
        <v>60000</v>
      </c>
      <c r="N116" s="70"/>
      <c r="O116" s="70"/>
      <c r="P116" s="70"/>
      <c r="Q116" s="70">
        <v>74046.937399999995</v>
      </c>
      <c r="R116" s="70">
        <v>36399.486666666598</v>
      </c>
      <c r="S116" s="467">
        <f t="shared" si="29"/>
        <v>210446.42406666701</v>
      </c>
      <c r="T116" s="70">
        <v>350947.15926666697</v>
      </c>
      <c r="U116" s="466">
        <f t="shared" si="30"/>
        <v>358147.15926666599</v>
      </c>
    </row>
    <row r="117" spans="1:21" ht="21.6" customHeight="1">
      <c r="A117" s="8">
        <v>10</v>
      </c>
      <c r="B117" s="9" t="s">
        <v>220</v>
      </c>
      <c r="C117" s="2" t="s">
        <v>221</v>
      </c>
      <c r="D117" s="8" t="s">
        <v>151</v>
      </c>
      <c r="E117" s="186">
        <v>399131.16666666698</v>
      </c>
      <c r="F117" s="70"/>
      <c r="G117" s="186">
        <v>100000</v>
      </c>
      <c r="H117" s="186"/>
      <c r="I117" s="70"/>
      <c r="J117" s="466">
        <f t="shared" si="27"/>
        <v>499131.16666666698</v>
      </c>
      <c r="K117" s="70"/>
      <c r="L117" s="70"/>
      <c r="M117" s="70"/>
      <c r="N117" s="70"/>
      <c r="O117" s="70"/>
      <c r="P117" s="70"/>
      <c r="Q117" s="70">
        <v>66596.121200000096</v>
      </c>
      <c r="R117" s="70">
        <v>31930.493333333401</v>
      </c>
      <c r="S117" s="467">
        <f t="shared" si="29"/>
        <v>98526.614533333501</v>
      </c>
      <c r="T117" s="70">
        <v>400604.55213333399</v>
      </c>
      <c r="U117" s="466">
        <f t="shared" si="30"/>
        <v>400604.552133333</v>
      </c>
    </row>
    <row r="118" spans="1:21" s="1" customFormat="1" ht="18.75" customHeight="1">
      <c r="A118" s="8">
        <v>11</v>
      </c>
      <c r="B118" s="16" t="s">
        <v>222</v>
      </c>
      <c r="C118" s="2" t="s">
        <v>150</v>
      </c>
      <c r="D118" s="8" t="s">
        <v>99</v>
      </c>
      <c r="E118" s="70">
        <v>338711.66666666698</v>
      </c>
      <c r="F118" s="70"/>
      <c r="G118" s="186">
        <f>100000</f>
        <v>100000</v>
      </c>
      <c r="H118" s="186"/>
      <c r="I118" s="70"/>
      <c r="J118" s="466">
        <f t="shared" si="27"/>
        <v>438711.66666666698</v>
      </c>
      <c r="K118" s="70"/>
      <c r="L118" s="70"/>
      <c r="M118" s="70"/>
      <c r="N118" s="70">
        <v>30000</v>
      </c>
      <c r="O118" s="70"/>
      <c r="P118" s="70"/>
      <c r="Q118" s="70">
        <v>56590.652000000096</v>
      </c>
      <c r="R118" s="70">
        <v>27096.9333333334</v>
      </c>
      <c r="S118" s="467">
        <f t="shared" si="29"/>
        <v>113687.585333333</v>
      </c>
      <c r="T118" s="70">
        <v>325024.08133333398</v>
      </c>
      <c r="U118" s="466">
        <f t="shared" si="30"/>
        <v>325024.08133333398</v>
      </c>
    </row>
    <row r="119" spans="1:21" s="1" customFormat="1" ht="18.75" customHeight="1">
      <c r="A119" s="8">
        <v>12</v>
      </c>
      <c r="B119" s="16" t="s">
        <v>223</v>
      </c>
      <c r="C119" s="2" t="s">
        <v>150</v>
      </c>
      <c r="D119" s="8" t="s">
        <v>99</v>
      </c>
      <c r="E119" s="70">
        <v>338711.66666666698</v>
      </c>
      <c r="F119" s="70"/>
      <c r="G119" s="186">
        <f>100000</f>
        <v>100000</v>
      </c>
      <c r="H119" s="186"/>
      <c r="I119" s="70"/>
      <c r="J119" s="466">
        <f t="shared" si="27"/>
        <v>438711.66666666698</v>
      </c>
      <c r="K119" s="70"/>
      <c r="L119" s="70"/>
      <c r="M119" s="70"/>
      <c r="N119" s="70">
        <v>30000</v>
      </c>
      <c r="O119" s="70"/>
      <c r="P119" s="70"/>
      <c r="Q119" s="70">
        <v>56590.652000000096</v>
      </c>
      <c r="R119" s="70">
        <v>27096.9333333334</v>
      </c>
      <c r="S119" s="467">
        <f t="shared" si="29"/>
        <v>113687.585333333</v>
      </c>
      <c r="T119" s="70">
        <v>325024.08133333398</v>
      </c>
      <c r="U119" s="466">
        <f t="shared" si="30"/>
        <v>325024.08133333398</v>
      </c>
    </row>
    <row r="120" spans="1:21" ht="21.6" customHeight="1">
      <c r="A120" s="8">
        <v>13</v>
      </c>
      <c r="B120" s="9" t="s">
        <v>224</v>
      </c>
      <c r="C120" s="2" t="s">
        <v>150</v>
      </c>
      <c r="D120" s="13" t="s">
        <v>225</v>
      </c>
      <c r="E120" s="186">
        <v>330408.08333333302</v>
      </c>
      <c r="F120" s="70">
        <v>115820</v>
      </c>
      <c r="G120" s="186">
        <f t="shared" ref="G120" si="32">100000</f>
        <v>100000</v>
      </c>
      <c r="H120" s="186"/>
      <c r="I120" s="70"/>
      <c r="J120" s="466">
        <f t="shared" si="27"/>
        <v>546228.08333333302</v>
      </c>
      <c r="K120" s="70"/>
      <c r="L120" s="70">
        <v>50000</v>
      </c>
      <c r="M120" s="70"/>
      <c r="N120" s="70"/>
      <c r="O120" s="70"/>
      <c r="P120" s="70">
        <v>5118.3604166666701</v>
      </c>
      <c r="Q120" s="70">
        <v>75350.349724999905</v>
      </c>
      <c r="R120" s="70">
        <v>26432.646666666598</v>
      </c>
      <c r="S120" s="467">
        <f t="shared" si="29"/>
        <v>156901.35680833299</v>
      </c>
      <c r="T120" s="70">
        <v>283640.97652500001</v>
      </c>
      <c r="U120" s="466">
        <f t="shared" si="30"/>
        <v>389326.72652500001</v>
      </c>
    </row>
    <row r="121" spans="1:21" ht="20.100000000000001" customHeight="1">
      <c r="A121" s="8"/>
      <c r="B121" s="18" t="s">
        <v>120</v>
      </c>
      <c r="C121" s="19">
        <v>13</v>
      </c>
      <c r="D121" s="19"/>
      <c r="E121" s="78">
        <f>SUM(E108:E120)</f>
        <v>7883551.4166666698</v>
      </c>
      <c r="F121" s="78">
        <f t="shared" ref="F121:S121" si="33">SUM(F108:F120)</f>
        <v>119420</v>
      </c>
      <c r="G121" s="78">
        <f t="shared" si="33"/>
        <v>1700000</v>
      </c>
      <c r="H121" s="78">
        <f t="shared" si="33"/>
        <v>0</v>
      </c>
      <c r="I121" s="78">
        <f t="shared" si="33"/>
        <v>200000</v>
      </c>
      <c r="J121" s="466">
        <f t="shared" si="27"/>
        <v>9902971.4166666698</v>
      </c>
      <c r="K121" s="78">
        <f t="shared" si="33"/>
        <v>0</v>
      </c>
      <c r="L121" s="78">
        <f t="shared" si="33"/>
        <v>240000</v>
      </c>
      <c r="M121" s="78">
        <f t="shared" si="33"/>
        <v>271250</v>
      </c>
      <c r="N121" s="78">
        <f t="shared" si="33"/>
        <v>262000</v>
      </c>
      <c r="O121" s="78">
        <f t="shared" si="33"/>
        <v>0</v>
      </c>
      <c r="P121" s="78">
        <f t="shared" si="33"/>
        <v>57387.491666666698</v>
      </c>
      <c r="Q121" s="78">
        <f t="shared" si="33"/>
        <v>1454858.0011750001</v>
      </c>
      <c r="R121" s="78">
        <f t="shared" si="33"/>
        <v>630684.11333333305</v>
      </c>
      <c r="S121" s="78">
        <f t="shared" si="33"/>
        <v>2916179.6061749998</v>
      </c>
      <c r="T121" s="78">
        <v>6975906.0604916699</v>
      </c>
      <c r="U121" s="78">
        <f>SUM(U108:U120)</f>
        <v>6986791.8104916699</v>
      </c>
    </row>
    <row r="122" spans="1:21" ht="20.100000000000001" customHeight="1">
      <c r="A122" s="8"/>
      <c r="B122" s="20"/>
      <c r="C122" s="19"/>
      <c r="D122" s="19"/>
      <c r="E122" s="122"/>
      <c r="F122" s="122"/>
      <c r="G122" s="186"/>
      <c r="H122" s="186"/>
      <c r="I122" s="122"/>
      <c r="J122" s="466">
        <f t="shared" si="27"/>
        <v>0</v>
      </c>
      <c r="K122" s="122"/>
      <c r="L122" s="122"/>
      <c r="M122" s="122"/>
      <c r="N122" s="122"/>
      <c r="O122" s="122"/>
      <c r="P122" s="122"/>
      <c r="Q122" s="122"/>
      <c r="R122" s="122"/>
      <c r="S122" s="474"/>
      <c r="T122" s="122"/>
      <c r="U122" s="473"/>
    </row>
    <row r="123" spans="1:21" ht="20.100000000000001" customHeight="1">
      <c r="A123" s="8"/>
      <c r="B123" s="18" t="s">
        <v>226</v>
      </c>
      <c r="C123" s="19"/>
      <c r="D123" s="19"/>
      <c r="E123" s="122"/>
      <c r="F123" s="122"/>
      <c r="G123" s="186"/>
      <c r="H123" s="186"/>
      <c r="I123" s="122"/>
      <c r="J123" s="466">
        <f t="shared" si="27"/>
        <v>0</v>
      </c>
      <c r="K123" s="122"/>
      <c r="L123" s="122"/>
      <c r="M123" s="122"/>
      <c r="N123" s="122"/>
      <c r="O123" s="122"/>
      <c r="P123" s="122"/>
      <c r="Q123" s="122"/>
      <c r="R123" s="122"/>
      <c r="S123" s="474"/>
      <c r="T123" s="122"/>
      <c r="U123" s="473"/>
    </row>
    <row r="124" spans="1:21" ht="20.100000000000001" customHeight="1">
      <c r="A124" s="8">
        <v>1</v>
      </c>
      <c r="B124" s="12" t="s">
        <v>227</v>
      </c>
      <c r="C124" s="2" t="s">
        <v>228</v>
      </c>
      <c r="D124" s="14" t="s">
        <v>124</v>
      </c>
      <c r="E124" s="70">
        <v>1747106.41666666</v>
      </c>
      <c r="F124" s="70"/>
      <c r="G124" s="186"/>
      <c r="H124" s="186">
        <f>100000</f>
        <v>100000</v>
      </c>
      <c r="I124" s="70"/>
      <c r="J124" s="466">
        <f t="shared" si="27"/>
        <v>1847106.41666666</v>
      </c>
      <c r="K124" s="70"/>
      <c r="L124" s="70">
        <v>60000</v>
      </c>
      <c r="M124" s="70">
        <v>440000</v>
      </c>
      <c r="N124" s="70"/>
      <c r="O124" s="70"/>
      <c r="P124" s="70">
        <v>27169.427083333299</v>
      </c>
      <c r="Q124" s="70">
        <v>305335.38001249899</v>
      </c>
      <c r="R124" s="70">
        <v>139768.51333333299</v>
      </c>
      <c r="S124" s="467">
        <f t="shared" ref="S124:S130" si="34">SUM(K124:R124)</f>
        <v>972273.32042916503</v>
      </c>
      <c r="T124" s="70">
        <v>874833.09623749496</v>
      </c>
      <c r="U124" s="466">
        <f>J124-S124</f>
        <v>874833.09623749496</v>
      </c>
    </row>
    <row r="125" spans="1:21" ht="20.100000000000001" customHeight="1">
      <c r="A125" s="8">
        <v>2</v>
      </c>
      <c r="B125" s="9" t="s">
        <v>229</v>
      </c>
      <c r="C125" s="2" t="s">
        <v>230</v>
      </c>
      <c r="D125" s="13" t="s">
        <v>191</v>
      </c>
      <c r="E125" s="70">
        <v>589657</v>
      </c>
      <c r="F125" s="70"/>
      <c r="G125" s="186"/>
      <c r="H125" s="186">
        <v>70000</v>
      </c>
      <c r="I125" s="70">
        <v>0</v>
      </c>
      <c r="J125" s="466">
        <f t="shared" si="27"/>
        <v>659657</v>
      </c>
      <c r="K125" s="70"/>
      <c r="L125" s="70">
        <v>30000</v>
      </c>
      <c r="M125" s="70"/>
      <c r="N125" s="70">
        <v>100000</v>
      </c>
      <c r="O125" s="70">
        <v>25107.5</v>
      </c>
      <c r="P125" s="70"/>
      <c r="Q125" s="70">
        <v>92747.199200000003</v>
      </c>
      <c r="R125" s="70">
        <v>47172.56</v>
      </c>
      <c r="S125" s="467">
        <f t="shared" si="34"/>
        <v>295027.25919999997</v>
      </c>
      <c r="T125" s="70">
        <v>389737.24080000003</v>
      </c>
      <c r="U125" s="466">
        <f t="shared" ref="U125:U130" si="35">J125-S125</f>
        <v>364629.74080000003</v>
      </c>
    </row>
    <row r="126" spans="1:21" ht="20.100000000000001" customHeight="1">
      <c r="A126" s="8">
        <v>3</v>
      </c>
      <c r="B126" s="9" t="s">
        <v>231</v>
      </c>
      <c r="C126" s="10" t="s">
        <v>232</v>
      </c>
      <c r="D126" s="13" t="s">
        <v>218</v>
      </c>
      <c r="E126" s="70">
        <v>512098.91666666698</v>
      </c>
      <c r="F126" s="70"/>
      <c r="G126" s="186"/>
      <c r="H126" s="186">
        <f t="shared" ref="H126:H128" si="36">70000</f>
        <v>70000</v>
      </c>
      <c r="I126" s="70">
        <v>0</v>
      </c>
      <c r="J126" s="466">
        <f t="shared" ref="J126:J130" si="37">SUM(E126:I126)</f>
        <v>582098.91666666698</v>
      </c>
      <c r="K126" s="70"/>
      <c r="L126" s="70">
        <v>40000</v>
      </c>
      <c r="M126" s="70"/>
      <c r="N126" s="70"/>
      <c r="O126" s="70"/>
      <c r="P126" s="70">
        <v>8008.9770833333296</v>
      </c>
      <c r="Q126" s="70">
        <v>78461.964724999998</v>
      </c>
      <c r="R126" s="70">
        <v>40967.913333333403</v>
      </c>
      <c r="S126" s="467">
        <f t="shared" si="34"/>
        <v>167438.85514166701</v>
      </c>
      <c r="T126" s="70">
        <v>327160.06152500003</v>
      </c>
      <c r="U126" s="466">
        <f t="shared" si="35"/>
        <v>414660.06152500003</v>
      </c>
    </row>
    <row r="127" spans="1:21" s="1" customFormat="1" ht="20.100000000000001" customHeight="1">
      <c r="A127" s="8">
        <v>4</v>
      </c>
      <c r="B127" s="9" t="s">
        <v>233</v>
      </c>
      <c r="C127" s="2" t="s">
        <v>234</v>
      </c>
      <c r="D127" s="13" t="s">
        <v>64</v>
      </c>
      <c r="E127" s="70">
        <v>497472.75</v>
      </c>
      <c r="F127" s="70"/>
      <c r="G127" s="186"/>
      <c r="H127" s="186">
        <f t="shared" si="36"/>
        <v>70000</v>
      </c>
      <c r="I127" s="70">
        <v>0</v>
      </c>
      <c r="J127" s="1108">
        <f t="shared" si="37"/>
        <v>567472.75</v>
      </c>
      <c r="K127" s="70"/>
      <c r="L127" s="70">
        <v>150000</v>
      </c>
      <c r="M127" s="70"/>
      <c r="N127" s="70"/>
      <c r="O127" s="70"/>
      <c r="P127" s="70">
        <v>7791.8312500000002</v>
      </c>
      <c r="Q127" s="638">
        <v>76078.957775000003</v>
      </c>
      <c r="R127" s="70">
        <v>39797.82</v>
      </c>
      <c r="S127" s="467">
        <f t="shared" si="34"/>
        <v>273668.60902500001</v>
      </c>
      <c r="T127" s="70">
        <v>190804.14097499999</v>
      </c>
      <c r="U127" s="466">
        <f t="shared" si="35"/>
        <v>293804.14097499999</v>
      </c>
    </row>
    <row r="128" spans="1:21" ht="20.100000000000001" customHeight="1">
      <c r="A128" s="8">
        <v>5</v>
      </c>
      <c r="B128" s="9" t="s">
        <v>235</v>
      </c>
      <c r="C128" s="2" t="s">
        <v>234</v>
      </c>
      <c r="D128" s="13" t="s">
        <v>64</v>
      </c>
      <c r="E128" s="70">
        <v>497472.75</v>
      </c>
      <c r="F128" s="70"/>
      <c r="G128" s="186"/>
      <c r="H128" s="186">
        <f t="shared" si="36"/>
        <v>70000</v>
      </c>
      <c r="I128" s="70"/>
      <c r="J128" s="466">
        <f>E128+F128+G128+H128+I128</f>
        <v>567472.75</v>
      </c>
      <c r="K128" s="70"/>
      <c r="L128" s="70">
        <f>5000</f>
        <v>5000</v>
      </c>
      <c r="M128" s="70">
        <v>0</v>
      </c>
      <c r="N128" s="70"/>
      <c r="O128" s="70"/>
      <c r="P128" s="70"/>
      <c r="Q128" s="70">
        <v>77481.487399999998</v>
      </c>
      <c r="R128" s="70">
        <v>39797.82</v>
      </c>
      <c r="S128" s="467">
        <f t="shared" si="34"/>
        <v>122279.30740000001</v>
      </c>
      <c r="T128" s="70">
        <v>445193.44260000001</v>
      </c>
      <c r="U128" s="466">
        <f t="shared" si="35"/>
        <v>445193.44260000001</v>
      </c>
    </row>
    <row r="129" spans="1:21" ht="20.100000000000001" customHeight="1">
      <c r="A129" s="8">
        <v>6</v>
      </c>
      <c r="B129" s="9" t="s">
        <v>236</v>
      </c>
      <c r="C129" s="2" t="s">
        <v>199</v>
      </c>
      <c r="D129" s="13" t="s">
        <v>151</v>
      </c>
      <c r="E129" s="186">
        <v>399131.16666666698</v>
      </c>
      <c r="F129" s="70"/>
      <c r="G129" s="186"/>
      <c r="H129" s="186">
        <f>60000</f>
        <v>60000</v>
      </c>
      <c r="I129" s="70"/>
      <c r="J129" s="466">
        <f>E129+F129+G129+H129+I129</f>
        <v>459131.16666666698</v>
      </c>
      <c r="K129" s="70"/>
      <c r="L129" s="70">
        <f>10000+80000</f>
        <v>90000</v>
      </c>
      <c r="M129" s="70">
        <f>19583.33</f>
        <v>19583.330000000002</v>
      </c>
      <c r="N129" s="70"/>
      <c r="O129" s="70"/>
      <c r="P129" s="70"/>
      <c r="Q129" s="70">
        <v>59396.121200000103</v>
      </c>
      <c r="R129" s="70">
        <v>31930.493333333401</v>
      </c>
      <c r="S129" s="467">
        <f t="shared" si="34"/>
        <v>200909.944533334</v>
      </c>
      <c r="T129" s="70">
        <v>258221.222133334</v>
      </c>
      <c r="U129" s="466">
        <f t="shared" si="35"/>
        <v>258221.22213333301</v>
      </c>
    </row>
    <row r="130" spans="1:21" s="1" customFormat="1" ht="20.100000000000001" customHeight="1">
      <c r="A130" s="8">
        <v>7</v>
      </c>
      <c r="B130" s="16" t="s">
        <v>237</v>
      </c>
      <c r="C130" s="10" t="s">
        <v>238</v>
      </c>
      <c r="D130" s="13" t="s">
        <v>75</v>
      </c>
      <c r="E130" s="70">
        <v>381140.66666666599</v>
      </c>
      <c r="F130" s="70"/>
      <c r="G130" s="186"/>
      <c r="H130" s="186">
        <v>60000</v>
      </c>
      <c r="I130" s="70"/>
      <c r="J130" s="467">
        <f t="shared" si="37"/>
        <v>441140.66666666599</v>
      </c>
      <c r="K130" s="70"/>
      <c r="L130" s="638"/>
      <c r="M130" s="638"/>
      <c r="N130" s="638"/>
      <c r="O130" s="2"/>
      <c r="P130" s="2"/>
      <c r="Q130" s="638">
        <v>56416.894399999903</v>
      </c>
      <c r="R130" s="639">
        <v>30491.253333333301</v>
      </c>
      <c r="S130" s="467">
        <f t="shared" si="34"/>
        <v>86908.1477333332</v>
      </c>
      <c r="T130" s="70">
        <v>354232.51893333299</v>
      </c>
      <c r="U130" s="466">
        <f t="shared" si="35"/>
        <v>354232.51893333299</v>
      </c>
    </row>
    <row r="131" spans="1:21" ht="20.100000000000001" customHeight="1">
      <c r="A131" s="2"/>
      <c r="B131" s="18" t="s">
        <v>120</v>
      </c>
      <c r="C131" s="19">
        <v>7</v>
      </c>
      <c r="D131" s="24"/>
      <c r="E131" s="78">
        <f>SUM(E124:E130)</f>
        <v>4624079.6666666605</v>
      </c>
      <c r="F131" s="78">
        <f t="shared" ref="F131:S131" si="38">SUM(F124:F130)</f>
        <v>0</v>
      </c>
      <c r="G131" s="78">
        <f t="shared" si="38"/>
        <v>0</v>
      </c>
      <c r="H131" s="78">
        <f t="shared" si="38"/>
        <v>500000</v>
      </c>
      <c r="I131" s="78">
        <f t="shared" si="38"/>
        <v>0</v>
      </c>
      <c r="J131" s="78">
        <f t="shared" si="38"/>
        <v>5124079.6666666605</v>
      </c>
      <c r="K131" s="78">
        <f t="shared" si="38"/>
        <v>0</v>
      </c>
      <c r="L131" s="78">
        <f t="shared" si="38"/>
        <v>375000</v>
      </c>
      <c r="M131" s="78">
        <f t="shared" si="38"/>
        <v>459583.33</v>
      </c>
      <c r="N131" s="78">
        <f t="shared" si="38"/>
        <v>100000</v>
      </c>
      <c r="O131" s="78">
        <f t="shared" si="38"/>
        <v>25107.5</v>
      </c>
      <c r="P131" s="78">
        <f t="shared" si="38"/>
        <v>42970.235416666597</v>
      </c>
      <c r="Q131" s="78">
        <f t="shared" si="38"/>
        <v>745918.00471249898</v>
      </c>
      <c r="R131" s="78">
        <f t="shared" si="38"/>
        <v>369926.373333333</v>
      </c>
      <c r="S131" s="78">
        <f t="shared" si="38"/>
        <v>2118505.4434624999</v>
      </c>
      <c r="T131" s="78">
        <v>2840181.7232041601</v>
      </c>
      <c r="U131" s="78">
        <f>SUM(U124:U130)</f>
        <v>3005574.2232041601</v>
      </c>
    </row>
    <row r="132" spans="1:21" ht="20.100000000000001" customHeight="1">
      <c r="A132" s="2"/>
      <c r="B132" s="20"/>
      <c r="C132" s="19"/>
      <c r="D132" s="24"/>
      <c r="E132" s="122"/>
      <c r="F132" s="122"/>
      <c r="G132" s="186"/>
      <c r="H132" s="186"/>
      <c r="I132" s="122"/>
      <c r="J132" s="473"/>
      <c r="K132" s="122"/>
      <c r="L132" s="122"/>
      <c r="M132" s="122"/>
      <c r="N132" s="122"/>
      <c r="O132" s="122"/>
      <c r="P132" s="122"/>
      <c r="Q132" s="122"/>
      <c r="R132" s="122"/>
      <c r="S132" s="474"/>
      <c r="T132" s="122"/>
      <c r="U132" s="473"/>
    </row>
    <row r="133" spans="1:21" ht="20.100000000000001" customHeight="1">
      <c r="A133" s="2"/>
      <c r="B133" s="18" t="s">
        <v>239</v>
      </c>
      <c r="C133" s="2"/>
      <c r="D133" s="2"/>
      <c r="E133" s="2"/>
      <c r="F133" s="2"/>
      <c r="G133" s="186"/>
      <c r="H133" s="186"/>
      <c r="I133" s="2"/>
      <c r="J133" s="477"/>
      <c r="K133" s="2"/>
      <c r="L133" s="2"/>
      <c r="M133" s="2"/>
      <c r="N133" s="2"/>
      <c r="O133" s="2"/>
      <c r="P133" s="2"/>
      <c r="Q133" s="2"/>
      <c r="R133" s="2"/>
      <c r="S133" s="478"/>
      <c r="T133" s="2"/>
      <c r="U133" s="477"/>
    </row>
    <row r="134" spans="1:21" ht="20.100000000000001" customHeight="1">
      <c r="A134" s="2">
        <v>1</v>
      </c>
      <c r="B134" s="9" t="s">
        <v>240</v>
      </c>
      <c r="C134" s="10" t="s">
        <v>241</v>
      </c>
      <c r="D134" s="13" t="s">
        <v>124</v>
      </c>
      <c r="E134" s="70">
        <v>1747106.41666666</v>
      </c>
      <c r="F134" s="70"/>
      <c r="G134" s="186">
        <f>200000</f>
        <v>200000</v>
      </c>
      <c r="H134" s="186"/>
      <c r="I134" s="70">
        <v>0</v>
      </c>
      <c r="J134" s="466">
        <f>SUM(E134:I134)</f>
        <v>1947106.41666666</v>
      </c>
      <c r="K134" s="70"/>
      <c r="L134" s="70">
        <f>100000</f>
        <v>100000</v>
      </c>
      <c r="M134" s="70">
        <v>0</v>
      </c>
      <c r="N134" s="70"/>
      <c r="O134" s="70"/>
      <c r="P134" s="70"/>
      <c r="Q134" s="70">
        <v>332040.95969999902</v>
      </c>
      <c r="R134" s="70">
        <v>139768.51333333299</v>
      </c>
      <c r="S134" s="467">
        <f t="shared" ref="S134:S144" si="39">SUM(K134:R134)</f>
        <v>571809.47303333203</v>
      </c>
      <c r="T134" s="70">
        <v>1375296.9436333301</v>
      </c>
      <c r="U134" s="466">
        <f>J134-S134</f>
        <v>1375296.9436333301</v>
      </c>
    </row>
    <row r="135" spans="1:21" ht="20.100000000000001" customHeight="1">
      <c r="A135" s="2">
        <v>2</v>
      </c>
      <c r="B135" s="9" t="s">
        <v>242</v>
      </c>
      <c r="C135" s="2" t="s">
        <v>243</v>
      </c>
      <c r="D135" s="14" t="s">
        <v>36</v>
      </c>
      <c r="E135" s="70">
        <v>905306.75</v>
      </c>
      <c r="F135" s="70"/>
      <c r="G135" s="186">
        <f>160000+20000</f>
        <v>180000</v>
      </c>
      <c r="H135" s="186"/>
      <c r="I135" s="70">
        <v>0</v>
      </c>
      <c r="J135" s="466">
        <f t="shared" ref="J135:J144" si="40">SUM(E135:I135)</f>
        <v>1085306.75</v>
      </c>
      <c r="K135" s="70"/>
      <c r="L135" s="70">
        <v>110000</v>
      </c>
      <c r="M135" s="70"/>
      <c r="N135" s="70"/>
      <c r="O135" s="70"/>
      <c r="P135" s="70">
        <v>13866.737499999999</v>
      </c>
      <c r="Q135" s="70">
        <v>162322.78505000001</v>
      </c>
      <c r="R135" s="70">
        <v>72424.539999999994</v>
      </c>
      <c r="S135" s="467">
        <f t="shared" si="39"/>
        <v>358614.06254999997</v>
      </c>
      <c r="T135" s="70">
        <v>726692.68744999997</v>
      </c>
      <c r="U135" s="466">
        <f t="shared" ref="U135:U144" si="41">J135-S135</f>
        <v>726692.68744999997</v>
      </c>
    </row>
    <row r="136" spans="1:21" ht="20.100000000000001" customHeight="1">
      <c r="A136" s="2">
        <v>3</v>
      </c>
      <c r="B136" s="9" t="s">
        <v>244</v>
      </c>
      <c r="C136" s="2" t="s">
        <v>245</v>
      </c>
      <c r="D136" s="8" t="s">
        <v>214</v>
      </c>
      <c r="E136" s="70">
        <v>558165.25</v>
      </c>
      <c r="F136" s="70"/>
      <c r="G136" s="186">
        <f>140000</f>
        <v>140000</v>
      </c>
      <c r="H136" s="186"/>
      <c r="I136" s="70">
        <v>59666.144999999997</v>
      </c>
      <c r="J136" s="466">
        <f t="shared" si="40"/>
        <v>757831.39500000002</v>
      </c>
      <c r="K136" s="70"/>
      <c r="L136" s="70">
        <v>30000</v>
      </c>
      <c r="M136" s="70">
        <f>61111.11</f>
        <v>61111.11</v>
      </c>
      <c r="N136" s="70">
        <v>30000</v>
      </c>
      <c r="O136" s="70">
        <v>65001.75</v>
      </c>
      <c r="P136" s="70">
        <v>8692.8979166666704</v>
      </c>
      <c r="Q136" s="70">
        <v>109307.349875</v>
      </c>
      <c r="R136" s="70">
        <v>44653.22</v>
      </c>
      <c r="S136" s="467">
        <f t="shared" si="39"/>
        <v>348766.32779166702</v>
      </c>
      <c r="T136" s="70">
        <v>474066.817208333</v>
      </c>
      <c r="U136" s="466">
        <f t="shared" si="41"/>
        <v>409065.067208333</v>
      </c>
    </row>
    <row r="137" spans="1:21" ht="20.100000000000001" customHeight="1">
      <c r="A137" s="2">
        <v>4</v>
      </c>
      <c r="B137" s="9" t="s">
        <v>246</v>
      </c>
      <c r="C137" s="2" t="s">
        <v>245</v>
      </c>
      <c r="D137" s="8" t="s">
        <v>214</v>
      </c>
      <c r="E137" s="70">
        <v>558165.25</v>
      </c>
      <c r="F137" s="70"/>
      <c r="G137" s="186">
        <f>140000</f>
        <v>140000</v>
      </c>
      <c r="H137" s="186"/>
      <c r="I137" s="70">
        <v>59666.144999999997</v>
      </c>
      <c r="J137" s="466">
        <f t="shared" si="40"/>
        <v>757831.39500000002</v>
      </c>
      <c r="K137" s="70"/>
      <c r="L137" s="70">
        <f>50000</f>
        <v>50000</v>
      </c>
      <c r="M137" s="70">
        <v>45833.33</v>
      </c>
      <c r="N137" s="70"/>
      <c r="O137" s="70"/>
      <c r="P137" s="70"/>
      <c r="Q137" s="70">
        <v>110872.07150000001</v>
      </c>
      <c r="R137" s="70">
        <v>44653.22</v>
      </c>
      <c r="S137" s="467">
        <f t="shared" si="39"/>
        <v>251358.62150000001</v>
      </c>
      <c r="T137" s="70">
        <v>506472.77350000001</v>
      </c>
      <c r="U137" s="466">
        <f t="shared" si="41"/>
        <v>506472.77350000001</v>
      </c>
    </row>
    <row r="138" spans="1:21" s="1" customFormat="1" ht="20.100000000000001" customHeight="1">
      <c r="A138" s="2">
        <v>5</v>
      </c>
      <c r="B138" s="16" t="s">
        <v>247</v>
      </c>
      <c r="C138" s="2" t="s">
        <v>248</v>
      </c>
      <c r="D138" s="13" t="s">
        <v>131</v>
      </c>
      <c r="E138" s="186">
        <v>454993.58333333302</v>
      </c>
      <c r="F138" s="70"/>
      <c r="G138" s="186">
        <f>110000</f>
        <v>110000</v>
      </c>
      <c r="H138" s="186"/>
      <c r="I138" s="70">
        <v>48527.49</v>
      </c>
      <c r="J138" s="466">
        <f t="shared" si="40"/>
        <v>613521.07333333301</v>
      </c>
      <c r="K138" s="70"/>
      <c r="L138" s="70">
        <v>100000</v>
      </c>
      <c r="M138" s="70"/>
      <c r="N138" s="70"/>
      <c r="O138" s="70"/>
      <c r="P138" s="70"/>
      <c r="Q138" s="70">
        <v>86381.885599999907</v>
      </c>
      <c r="R138" s="70">
        <v>36399.486666666598</v>
      </c>
      <c r="S138" s="467">
        <f t="shared" si="39"/>
        <v>222781.37226666699</v>
      </c>
      <c r="T138" s="70">
        <v>388739.70106666698</v>
      </c>
      <c r="U138" s="466">
        <f t="shared" si="41"/>
        <v>390739.70106666698</v>
      </c>
    </row>
    <row r="139" spans="1:21" ht="20.100000000000001" customHeight="1">
      <c r="A139" s="2">
        <v>6</v>
      </c>
      <c r="B139" s="9" t="s">
        <v>249</v>
      </c>
      <c r="C139" s="2" t="s">
        <v>250</v>
      </c>
      <c r="D139" s="13" t="s">
        <v>251</v>
      </c>
      <c r="E139" s="186">
        <v>336960.16666666698</v>
      </c>
      <c r="F139" s="70"/>
      <c r="G139" s="186">
        <f>100000</f>
        <v>100000</v>
      </c>
      <c r="H139" s="186"/>
      <c r="I139" s="70">
        <v>36294.545833333403</v>
      </c>
      <c r="J139" s="466">
        <f t="shared" si="40"/>
        <v>473254.71250000002</v>
      </c>
      <c r="K139" s="70"/>
      <c r="L139" s="70">
        <v>20000</v>
      </c>
      <c r="M139" s="70">
        <f>50000</f>
        <v>50000</v>
      </c>
      <c r="N139" s="70"/>
      <c r="O139" s="70"/>
      <c r="P139" s="70"/>
      <c r="Q139" s="70">
        <v>62833.621850000003</v>
      </c>
      <c r="R139" s="70">
        <v>26956.813333333299</v>
      </c>
      <c r="S139" s="467">
        <f t="shared" si="39"/>
        <v>159790.435183333</v>
      </c>
      <c r="T139" s="70">
        <v>313464.27731666702</v>
      </c>
      <c r="U139" s="466">
        <f t="shared" si="41"/>
        <v>313464.27731666702</v>
      </c>
    </row>
    <row r="140" spans="1:21" ht="20.100000000000001" customHeight="1">
      <c r="A140" s="2">
        <v>7</v>
      </c>
      <c r="B140" s="16" t="s">
        <v>252</v>
      </c>
      <c r="C140" s="2" t="s">
        <v>250</v>
      </c>
      <c r="D140" s="8" t="s">
        <v>99</v>
      </c>
      <c r="E140" s="186">
        <v>338711.66666666698</v>
      </c>
      <c r="F140" s="70"/>
      <c r="G140" s="186">
        <f>100000</f>
        <v>100000</v>
      </c>
      <c r="H140" s="186"/>
      <c r="I140" s="70">
        <v>36344.779166666602</v>
      </c>
      <c r="J140" s="466">
        <f t="shared" si="40"/>
        <v>475056.445833334</v>
      </c>
      <c r="K140" s="70"/>
      <c r="L140" s="70">
        <f>25000</f>
        <v>25000</v>
      </c>
      <c r="M140" s="70">
        <v>114583.33333333299</v>
      </c>
      <c r="N140" s="70"/>
      <c r="O140" s="70"/>
      <c r="P140" s="70"/>
      <c r="Q140" s="70">
        <v>63132.712250000099</v>
      </c>
      <c r="R140" s="70">
        <v>27096.9333333334</v>
      </c>
      <c r="S140" s="467">
        <f t="shared" si="39"/>
        <v>229812.978916666</v>
      </c>
      <c r="T140" s="70">
        <v>245243.466916668</v>
      </c>
      <c r="U140" s="466">
        <f t="shared" si="41"/>
        <v>245243.46691666701</v>
      </c>
    </row>
    <row r="141" spans="1:21" ht="20.100000000000001" customHeight="1">
      <c r="A141" s="2">
        <v>8</v>
      </c>
      <c r="B141" s="16" t="s">
        <v>253</v>
      </c>
      <c r="C141" s="2" t="s">
        <v>250</v>
      </c>
      <c r="D141" s="13" t="s">
        <v>105</v>
      </c>
      <c r="E141" s="70">
        <v>308920.66666666698</v>
      </c>
      <c r="F141" s="70"/>
      <c r="G141" s="186">
        <f t="shared" ref="G141:G144" si="42">100000</f>
        <v>100000</v>
      </c>
      <c r="H141" s="186"/>
      <c r="I141" s="70">
        <v>33981.273333333404</v>
      </c>
      <c r="J141" s="466">
        <f t="shared" si="40"/>
        <v>442901.94</v>
      </c>
      <c r="K141" s="70"/>
      <c r="L141" s="70">
        <f>30000</f>
        <v>30000</v>
      </c>
      <c r="M141" s="70"/>
      <c r="N141" s="70"/>
      <c r="O141" s="70"/>
      <c r="P141" s="70">
        <v>5118.3604166666701</v>
      </c>
      <c r="Q141" s="70">
        <v>56751.643925000099</v>
      </c>
      <c r="R141" s="70">
        <v>24713.653333333401</v>
      </c>
      <c r="S141" s="467">
        <f t="shared" si="39"/>
        <v>116583.65767499999</v>
      </c>
      <c r="T141" s="70">
        <v>331505.62065833301</v>
      </c>
      <c r="U141" s="466">
        <f t="shared" si="41"/>
        <v>326318.28232499998</v>
      </c>
    </row>
    <row r="142" spans="1:21" s="1" customFormat="1" ht="20.100000000000001" customHeight="1">
      <c r="A142" s="2">
        <v>9</v>
      </c>
      <c r="B142" s="16" t="s">
        <v>254</v>
      </c>
      <c r="C142" s="2" t="s">
        <v>250</v>
      </c>
      <c r="D142" s="13" t="s">
        <v>111</v>
      </c>
      <c r="E142" s="70">
        <v>294900.83333333401</v>
      </c>
      <c r="F142" s="70"/>
      <c r="G142" s="186">
        <f t="shared" si="42"/>
        <v>100000</v>
      </c>
      <c r="H142" s="186"/>
      <c r="I142" s="70">
        <v>31668</v>
      </c>
      <c r="J142" s="466">
        <f t="shared" si="40"/>
        <v>426568.83333333401</v>
      </c>
      <c r="K142" s="70"/>
      <c r="L142" s="638"/>
      <c r="M142" s="638"/>
      <c r="N142" s="638"/>
      <c r="O142" s="2"/>
      <c r="P142" s="2"/>
      <c r="Q142" s="638">
        <v>55035.818000000101</v>
      </c>
      <c r="R142" s="639">
        <v>23592.066666666698</v>
      </c>
      <c r="S142" s="467">
        <f t="shared" si="39"/>
        <v>78627.884666666796</v>
      </c>
      <c r="T142" s="70">
        <v>347940.94866666698</v>
      </c>
      <c r="U142" s="466">
        <f t="shared" si="41"/>
        <v>347940.94866666698</v>
      </c>
    </row>
    <row r="143" spans="1:21" s="1" customFormat="1" ht="20.100000000000001" customHeight="1">
      <c r="A143" s="2">
        <v>10</v>
      </c>
      <c r="B143" s="16" t="s">
        <v>255</v>
      </c>
      <c r="C143" s="2" t="s">
        <v>250</v>
      </c>
      <c r="D143" s="13" t="s">
        <v>111</v>
      </c>
      <c r="E143" s="70">
        <v>294900.83333333401</v>
      </c>
      <c r="F143" s="70"/>
      <c r="G143" s="186">
        <f t="shared" si="42"/>
        <v>100000</v>
      </c>
      <c r="H143" s="186"/>
      <c r="I143" s="70">
        <v>31668</v>
      </c>
      <c r="J143" s="466">
        <f t="shared" si="40"/>
        <v>426568.83333333401</v>
      </c>
      <c r="K143" s="70"/>
      <c r="L143" s="638">
        <v>20000</v>
      </c>
      <c r="M143" s="638"/>
      <c r="N143" s="638"/>
      <c r="O143" s="2"/>
      <c r="P143" s="2"/>
      <c r="Q143" s="638">
        <v>55035.818000000101</v>
      </c>
      <c r="R143" s="639">
        <v>23592.066666666698</v>
      </c>
      <c r="S143" s="467">
        <f t="shared" si="39"/>
        <v>98627.884666666796</v>
      </c>
      <c r="T143" s="70">
        <v>325940.94866666698</v>
      </c>
      <c r="U143" s="466">
        <f t="shared" si="41"/>
        <v>327940.94866666698</v>
      </c>
    </row>
    <row r="144" spans="1:21" s="1" customFormat="1" ht="20.100000000000001" customHeight="1">
      <c r="A144" s="2">
        <v>11</v>
      </c>
      <c r="B144" s="16" t="s">
        <v>256</v>
      </c>
      <c r="C144" s="2" t="s">
        <v>250</v>
      </c>
      <c r="D144" s="13" t="s">
        <v>111</v>
      </c>
      <c r="E144" s="70">
        <v>294900.83333333401</v>
      </c>
      <c r="F144" s="70"/>
      <c r="G144" s="186">
        <f t="shared" si="42"/>
        <v>100000</v>
      </c>
      <c r="H144" s="186"/>
      <c r="I144" s="70">
        <v>31668</v>
      </c>
      <c r="J144" s="466">
        <f t="shared" si="40"/>
        <v>426568.83333333401</v>
      </c>
      <c r="K144" s="70"/>
      <c r="L144" s="638"/>
      <c r="M144" s="638"/>
      <c r="N144" s="638"/>
      <c r="O144" s="2"/>
      <c r="P144" s="2"/>
      <c r="Q144" s="638">
        <v>55035.818000000101</v>
      </c>
      <c r="R144" s="639">
        <v>23592.066666666698</v>
      </c>
      <c r="S144" s="467">
        <f t="shared" si="39"/>
        <v>78627.884666666796</v>
      </c>
      <c r="T144" s="70">
        <v>347940.94866666698</v>
      </c>
      <c r="U144" s="466">
        <f t="shared" si="41"/>
        <v>347940.94866666698</v>
      </c>
    </row>
    <row r="145" spans="1:21" ht="25.5" customHeight="1">
      <c r="A145" s="2"/>
      <c r="B145" s="18" t="s">
        <v>120</v>
      </c>
      <c r="C145" s="19">
        <v>11</v>
      </c>
      <c r="D145" s="2"/>
      <c r="E145" s="189">
        <f>SUM(E134:E144)</f>
        <v>6093032.25</v>
      </c>
      <c r="F145" s="189">
        <f t="shared" ref="F145:S145" si="43">SUM(F134:F144)</f>
        <v>0</v>
      </c>
      <c r="G145" s="189">
        <f t="shared" si="43"/>
        <v>1370000</v>
      </c>
      <c r="H145" s="189">
        <f t="shared" si="43"/>
        <v>0</v>
      </c>
      <c r="I145" s="189">
        <f t="shared" si="43"/>
        <v>369484.37833333301</v>
      </c>
      <c r="J145" s="189">
        <f t="shared" si="43"/>
        <v>7832516.6283333302</v>
      </c>
      <c r="K145" s="189">
        <f t="shared" si="43"/>
        <v>0</v>
      </c>
      <c r="L145" s="189">
        <f t="shared" si="43"/>
        <v>485000</v>
      </c>
      <c r="M145" s="189">
        <f t="shared" si="43"/>
        <v>271527.77333333303</v>
      </c>
      <c r="N145" s="189">
        <f t="shared" si="43"/>
        <v>30000</v>
      </c>
      <c r="O145" s="189">
        <f t="shared" si="43"/>
        <v>65001.75</v>
      </c>
      <c r="P145" s="189">
        <f t="shared" si="43"/>
        <v>27677.995833333302</v>
      </c>
      <c r="Q145" s="189">
        <f t="shared" si="43"/>
        <v>1148750.4837499999</v>
      </c>
      <c r="R145" s="189">
        <f t="shared" si="43"/>
        <v>487442.58</v>
      </c>
      <c r="S145" s="189">
        <f t="shared" si="43"/>
        <v>2515400.58291667</v>
      </c>
      <c r="T145" s="189">
        <v>5383305.13375</v>
      </c>
      <c r="U145" s="189">
        <f>SUM(U134:U144)</f>
        <v>5317116.0454166699</v>
      </c>
    </row>
    <row r="146" spans="1:21" ht="20.100000000000001" customHeight="1">
      <c r="A146" s="2"/>
      <c r="B146" s="18"/>
      <c r="C146" s="19"/>
      <c r="D146" s="2"/>
      <c r="E146" s="189"/>
      <c r="F146" s="189"/>
      <c r="G146" s="475"/>
      <c r="H146" s="475"/>
      <c r="I146" s="189"/>
      <c r="J146" s="479"/>
      <c r="K146" s="189"/>
      <c r="L146" s="189"/>
      <c r="M146" s="189"/>
      <c r="N146" s="189"/>
      <c r="O146" s="189"/>
      <c r="P146" s="189"/>
      <c r="Q146" s="189"/>
      <c r="R146" s="189"/>
      <c r="S146" s="480"/>
      <c r="T146" s="189"/>
      <c r="U146" s="479"/>
    </row>
    <row r="147" spans="1:21" ht="20.100000000000001" customHeight="1">
      <c r="A147" s="8"/>
      <c r="B147" s="18" t="s">
        <v>257</v>
      </c>
      <c r="C147" s="19"/>
      <c r="D147" s="19"/>
      <c r="E147" s="122"/>
      <c r="F147" s="122"/>
      <c r="G147" s="186"/>
      <c r="H147" s="186"/>
      <c r="I147" s="122"/>
      <c r="J147" s="473"/>
      <c r="K147" s="122"/>
      <c r="L147" s="122"/>
      <c r="M147" s="122"/>
      <c r="N147" s="122"/>
      <c r="O147" s="122"/>
      <c r="P147" s="122"/>
      <c r="Q147" s="122"/>
      <c r="R147" s="122"/>
      <c r="S147" s="474"/>
      <c r="T147" s="122"/>
      <c r="U147" s="473"/>
    </row>
    <row r="148" spans="1:21" s="1" customFormat="1" ht="20.100000000000001" customHeight="1">
      <c r="A148" s="8">
        <v>1</v>
      </c>
      <c r="B148" s="9" t="s">
        <v>258</v>
      </c>
      <c r="C148" s="15" t="s">
        <v>142</v>
      </c>
      <c r="D148" s="8" t="s">
        <v>50</v>
      </c>
      <c r="E148" s="70">
        <v>722595.5</v>
      </c>
      <c r="F148" s="70"/>
      <c r="G148" s="186">
        <v>160000</v>
      </c>
      <c r="H148" s="186"/>
      <c r="I148" s="70"/>
      <c r="J148" s="466">
        <f t="shared" ref="J148:J154" si="44">SUM(E148:I148)</f>
        <v>882595.5</v>
      </c>
      <c r="K148" s="70"/>
      <c r="L148" s="70"/>
      <c r="M148" s="70"/>
      <c r="N148" s="70"/>
      <c r="O148" s="70"/>
      <c r="P148" s="70"/>
      <c r="Q148" s="70">
        <v>130961.81479999999</v>
      </c>
      <c r="R148" s="70">
        <v>57807.64</v>
      </c>
      <c r="S148" s="467">
        <f t="shared" ref="S148:S154" si="45">SUM(K148:R148)</f>
        <v>188769.45480000001</v>
      </c>
      <c r="T148" s="70">
        <v>693826.04520000005</v>
      </c>
      <c r="U148" s="466">
        <f t="shared" ref="U148:U154" si="46">J148-S148</f>
        <v>693826.04520000005</v>
      </c>
    </row>
    <row r="149" spans="1:21" ht="18.75" customHeight="1">
      <c r="A149" s="8">
        <v>2</v>
      </c>
      <c r="B149" s="9" t="s">
        <v>259</v>
      </c>
      <c r="C149" s="2" t="s">
        <v>260</v>
      </c>
      <c r="D149" s="13" t="s">
        <v>261</v>
      </c>
      <c r="E149" s="70">
        <v>496497.16666666698</v>
      </c>
      <c r="F149" s="70"/>
      <c r="G149" s="186">
        <v>110000</v>
      </c>
      <c r="H149" s="186">
        <v>0</v>
      </c>
      <c r="I149" s="70"/>
      <c r="J149" s="466">
        <f t="shared" si="44"/>
        <v>606497.16666666698</v>
      </c>
      <c r="K149" s="70"/>
      <c r="L149" s="70">
        <f>30000</f>
        <v>30000</v>
      </c>
      <c r="M149" s="70">
        <f>102135.42</f>
        <v>102135.42</v>
      </c>
      <c r="N149" s="70"/>
      <c r="O149" s="70"/>
      <c r="P149" s="70">
        <v>7777.3604166666701</v>
      </c>
      <c r="Q149" s="70">
        <v>83120.005925000005</v>
      </c>
      <c r="R149" s="70">
        <v>39719.773333333302</v>
      </c>
      <c r="S149" s="467">
        <f t="shared" si="45"/>
        <v>262752.55967500003</v>
      </c>
      <c r="T149" s="70">
        <v>343744.60699166701</v>
      </c>
      <c r="U149" s="466">
        <f t="shared" si="46"/>
        <v>343744.60699166701</v>
      </c>
    </row>
    <row r="150" spans="1:21" s="1" customFormat="1" ht="18.75" customHeight="1">
      <c r="A150" s="8">
        <v>4</v>
      </c>
      <c r="B150" s="16" t="s">
        <v>262</v>
      </c>
      <c r="C150" s="2" t="s">
        <v>150</v>
      </c>
      <c r="D150" s="8" t="s">
        <v>99</v>
      </c>
      <c r="E150" s="70">
        <v>338711.66666666698</v>
      </c>
      <c r="F150" s="70"/>
      <c r="G150" s="186">
        <f t="shared" ref="G150:G154" si="47">100000</f>
        <v>100000</v>
      </c>
      <c r="H150" s="186"/>
      <c r="I150" s="70"/>
      <c r="J150" s="466">
        <f t="shared" si="44"/>
        <v>438711.66666666698</v>
      </c>
      <c r="K150" s="70"/>
      <c r="L150" s="70">
        <v>50000</v>
      </c>
      <c r="M150" s="70">
        <v>92500</v>
      </c>
      <c r="N150" s="70"/>
      <c r="O150" s="70"/>
      <c r="P150" s="70">
        <v>5443.3354166666804</v>
      </c>
      <c r="Q150" s="70">
        <v>55610.851625000098</v>
      </c>
      <c r="R150" s="70">
        <v>27096.9333333334</v>
      </c>
      <c r="S150" s="467">
        <f t="shared" si="45"/>
        <v>230651.120375</v>
      </c>
      <c r="T150" s="70">
        <v>208060.54629166701</v>
      </c>
      <c r="U150" s="466">
        <f t="shared" si="46"/>
        <v>208060.54629166701</v>
      </c>
    </row>
    <row r="151" spans="1:21" s="1" customFormat="1" ht="18.75" customHeight="1">
      <c r="A151" s="8">
        <v>5</v>
      </c>
      <c r="B151" s="16" t="s">
        <v>263</v>
      </c>
      <c r="C151" s="2" t="s">
        <v>150</v>
      </c>
      <c r="D151" s="8" t="s">
        <v>99</v>
      </c>
      <c r="E151" s="70">
        <v>338711.66666666698</v>
      </c>
      <c r="F151" s="70"/>
      <c r="G151" s="186">
        <f t="shared" si="47"/>
        <v>100000</v>
      </c>
      <c r="H151" s="186"/>
      <c r="I151" s="70"/>
      <c r="J151" s="466">
        <f t="shared" si="44"/>
        <v>438711.66666666698</v>
      </c>
      <c r="K151" s="70"/>
      <c r="L151" s="70">
        <v>20000</v>
      </c>
      <c r="M151" s="70"/>
      <c r="N151" s="70"/>
      <c r="O151" s="70"/>
      <c r="P151" s="70">
        <v>5443.3354166666804</v>
      </c>
      <c r="Q151" s="70">
        <v>55610.851625000098</v>
      </c>
      <c r="R151" s="70">
        <v>27096.9333333334</v>
      </c>
      <c r="S151" s="467">
        <f t="shared" si="45"/>
        <v>108151.120375</v>
      </c>
      <c r="T151" s="70">
        <v>330560.54629166698</v>
      </c>
      <c r="U151" s="466">
        <f t="shared" si="46"/>
        <v>330560.54629166698</v>
      </c>
    </row>
    <row r="152" spans="1:21" s="1" customFormat="1" ht="18.75" customHeight="1">
      <c r="A152" s="8">
        <v>6</v>
      </c>
      <c r="B152" s="16" t="s">
        <v>264</v>
      </c>
      <c r="C152" s="2" t="s">
        <v>150</v>
      </c>
      <c r="D152" s="8" t="s">
        <v>99</v>
      </c>
      <c r="E152" s="70">
        <v>338711.66666666698</v>
      </c>
      <c r="F152" s="70"/>
      <c r="G152" s="186">
        <f t="shared" si="47"/>
        <v>100000</v>
      </c>
      <c r="H152" s="186"/>
      <c r="I152" s="70"/>
      <c r="J152" s="466">
        <f t="shared" si="44"/>
        <v>438711.66666666698</v>
      </c>
      <c r="K152" s="70"/>
      <c r="L152" s="70">
        <v>20000</v>
      </c>
      <c r="M152" s="70"/>
      <c r="N152" s="70"/>
      <c r="O152" s="70"/>
      <c r="P152" s="70">
        <v>5443.3354166666804</v>
      </c>
      <c r="Q152" s="70">
        <v>55610.851625000098</v>
      </c>
      <c r="R152" s="70">
        <v>27096.9333333334</v>
      </c>
      <c r="S152" s="467">
        <f t="shared" si="45"/>
        <v>108151.120375</v>
      </c>
      <c r="T152" s="70">
        <v>330560.54629166698</v>
      </c>
      <c r="U152" s="466">
        <f t="shared" si="46"/>
        <v>330560.54629166698</v>
      </c>
    </row>
    <row r="153" spans="1:21" s="1" customFormat="1" ht="18.75" customHeight="1">
      <c r="A153" s="8">
        <v>7</v>
      </c>
      <c r="B153" s="16" t="s">
        <v>265</v>
      </c>
      <c r="C153" s="2" t="s">
        <v>150</v>
      </c>
      <c r="D153" s="8" t="s">
        <v>99</v>
      </c>
      <c r="E153" s="70">
        <v>338711.66666666698</v>
      </c>
      <c r="F153" s="70"/>
      <c r="G153" s="186">
        <f t="shared" si="47"/>
        <v>100000</v>
      </c>
      <c r="H153" s="186"/>
      <c r="I153" s="70"/>
      <c r="J153" s="466">
        <f t="shared" si="44"/>
        <v>438711.66666666698</v>
      </c>
      <c r="K153" s="70"/>
      <c r="L153" s="70">
        <v>10000</v>
      </c>
      <c r="M153" s="70"/>
      <c r="N153" s="70"/>
      <c r="O153" s="70"/>
      <c r="P153" s="70">
        <v>5443.3354166666804</v>
      </c>
      <c r="Q153" s="70">
        <v>55610.851625000098</v>
      </c>
      <c r="R153" s="70">
        <v>27096.9333333334</v>
      </c>
      <c r="S153" s="467">
        <f t="shared" si="45"/>
        <v>98151.120375000202</v>
      </c>
      <c r="T153" s="70">
        <v>340560.54629166698</v>
      </c>
      <c r="U153" s="466">
        <f t="shared" si="46"/>
        <v>340560.54629166698</v>
      </c>
    </row>
    <row r="154" spans="1:21" s="1" customFormat="1" ht="20.100000000000001" customHeight="1">
      <c r="A154" s="8">
        <v>8</v>
      </c>
      <c r="B154" s="16" t="s">
        <v>266</v>
      </c>
      <c r="C154" s="10" t="s">
        <v>267</v>
      </c>
      <c r="D154" s="13" t="s">
        <v>111</v>
      </c>
      <c r="E154" s="70">
        <v>294900.83333333401</v>
      </c>
      <c r="F154" s="70"/>
      <c r="G154" s="186">
        <f t="shared" si="47"/>
        <v>100000</v>
      </c>
      <c r="H154" s="186"/>
      <c r="I154" s="70"/>
      <c r="J154" s="466">
        <f t="shared" si="44"/>
        <v>394900.83333333401</v>
      </c>
      <c r="K154" s="70"/>
      <c r="L154" s="638">
        <v>10000</v>
      </c>
      <c r="M154" s="638"/>
      <c r="N154" s="1110"/>
      <c r="O154" s="298"/>
      <c r="P154" s="298">
        <v>4804.4854166666801</v>
      </c>
      <c r="Q154" s="638">
        <v>48470.770625000099</v>
      </c>
      <c r="R154" s="639">
        <v>23592.066666666698</v>
      </c>
      <c r="S154" s="467">
        <f t="shared" si="45"/>
        <v>86867.322708333493</v>
      </c>
      <c r="T154" s="70">
        <v>308033.51062500098</v>
      </c>
      <c r="U154" s="466">
        <f t="shared" si="46"/>
        <v>308033.51062500098</v>
      </c>
    </row>
    <row r="155" spans="1:21" ht="24.75" customHeight="1">
      <c r="A155" s="2"/>
      <c r="B155" s="18" t="s">
        <v>120</v>
      </c>
      <c r="C155" s="19">
        <v>8</v>
      </c>
      <c r="D155" s="24"/>
      <c r="E155" s="78">
        <f>SUM(E148:E154)</f>
        <v>2868840.1666666698</v>
      </c>
      <c r="F155" s="78">
        <f t="shared" ref="F155:S155" si="48">SUM(F148:F154)</f>
        <v>0</v>
      </c>
      <c r="G155" s="78">
        <f t="shared" si="48"/>
        <v>770000</v>
      </c>
      <c r="H155" s="78">
        <f t="shared" si="48"/>
        <v>0</v>
      </c>
      <c r="I155" s="78">
        <f t="shared" si="48"/>
        <v>0</v>
      </c>
      <c r="J155" s="78">
        <f t="shared" si="48"/>
        <v>3638840.1666666698</v>
      </c>
      <c r="K155" s="78">
        <f t="shared" si="48"/>
        <v>0</v>
      </c>
      <c r="L155" s="78">
        <f t="shared" si="48"/>
        <v>140000</v>
      </c>
      <c r="M155" s="78">
        <f t="shared" si="48"/>
        <v>194635.42</v>
      </c>
      <c r="N155" s="78">
        <f t="shared" si="48"/>
        <v>0</v>
      </c>
      <c r="O155" s="78">
        <f t="shared" si="48"/>
        <v>0</v>
      </c>
      <c r="P155" s="78">
        <f t="shared" si="48"/>
        <v>34355.187500000102</v>
      </c>
      <c r="Q155" s="78">
        <f t="shared" si="48"/>
        <v>484995.99785000097</v>
      </c>
      <c r="R155" s="78">
        <f t="shared" si="48"/>
        <v>229507.21333333399</v>
      </c>
      <c r="S155" s="78">
        <f t="shared" si="48"/>
        <v>1083493.81868333</v>
      </c>
      <c r="T155" s="78">
        <v>2555346.34798333</v>
      </c>
      <c r="U155" s="78">
        <f>SUM(U148:U154)</f>
        <v>2555346.34798333</v>
      </c>
    </row>
    <row r="156" spans="1:21" ht="24.75" customHeight="1">
      <c r="A156" s="2"/>
      <c r="B156" s="18"/>
      <c r="C156" s="19"/>
      <c r="D156" s="24"/>
      <c r="E156" s="78"/>
      <c r="F156" s="78"/>
      <c r="G156" s="78"/>
      <c r="H156" s="78"/>
      <c r="I156" s="78"/>
      <c r="J156" s="1111"/>
      <c r="K156" s="78"/>
      <c r="L156" s="78"/>
      <c r="M156" s="78"/>
      <c r="N156" s="78"/>
      <c r="O156" s="78"/>
      <c r="P156" s="78"/>
      <c r="Q156" s="78"/>
      <c r="R156" s="78"/>
      <c r="S156" s="1112"/>
      <c r="T156" s="78"/>
      <c r="U156" s="1111"/>
    </row>
    <row r="157" spans="1:21" ht="24.75" customHeight="1">
      <c r="A157" s="8"/>
      <c r="B157" s="18" t="s">
        <v>268</v>
      </c>
      <c r="C157" s="19"/>
      <c r="D157" s="19"/>
      <c r="E157" s="122"/>
      <c r="F157" s="122"/>
      <c r="G157" s="186"/>
      <c r="H157" s="186"/>
      <c r="I157" s="122"/>
      <c r="J157" s="473"/>
      <c r="K157" s="122"/>
      <c r="L157" s="122"/>
      <c r="M157" s="122"/>
      <c r="N157" s="122"/>
      <c r="O157" s="122"/>
      <c r="P157" s="122"/>
      <c r="Q157" s="122"/>
      <c r="R157" s="122"/>
      <c r="S157" s="474"/>
      <c r="T157" s="122"/>
      <c r="U157" s="473"/>
    </row>
    <row r="158" spans="1:21" s="1" customFormat="1" ht="20.100000000000001" customHeight="1">
      <c r="A158" s="2">
        <v>1</v>
      </c>
      <c r="B158" s="16" t="s">
        <v>269</v>
      </c>
      <c r="C158" s="10" t="s">
        <v>270</v>
      </c>
      <c r="D158" s="13" t="s">
        <v>75</v>
      </c>
      <c r="E158" s="70">
        <v>381140.66666666599</v>
      </c>
      <c r="F158" s="70"/>
      <c r="G158" s="186"/>
      <c r="H158" s="186">
        <v>60000</v>
      </c>
      <c r="I158" s="70"/>
      <c r="J158" s="467"/>
      <c r="K158" s="70"/>
      <c r="L158" s="638"/>
      <c r="M158" s="638"/>
      <c r="N158" s="638"/>
      <c r="O158" s="2"/>
      <c r="P158" s="2"/>
      <c r="Q158" s="638"/>
      <c r="R158" s="639"/>
      <c r="S158" s="467">
        <f t="shared" ref="S158:S162" si="49">SUM(K158:R158)</f>
        <v>0</v>
      </c>
      <c r="T158" s="70">
        <v>354232.51893333299</v>
      </c>
      <c r="U158" s="467">
        <f>J158-S158</f>
        <v>0</v>
      </c>
    </row>
    <row r="159" spans="1:21" s="1" customFormat="1" ht="18.75" customHeight="1">
      <c r="A159" s="2">
        <v>2</v>
      </c>
      <c r="B159" s="16" t="s">
        <v>271</v>
      </c>
      <c r="C159" s="2" t="s">
        <v>272</v>
      </c>
      <c r="D159" s="8" t="s">
        <v>99</v>
      </c>
      <c r="E159" s="70">
        <v>338711.66666666698</v>
      </c>
      <c r="F159" s="70"/>
      <c r="G159" s="186"/>
      <c r="H159" s="186">
        <f>60000</f>
        <v>60000</v>
      </c>
      <c r="I159" s="70"/>
      <c r="J159" s="467">
        <f>SUM(E159:I159)</f>
        <v>398711.66666666698</v>
      </c>
      <c r="K159" s="70"/>
      <c r="L159" s="70"/>
      <c r="M159" s="70"/>
      <c r="N159" s="70"/>
      <c r="O159" s="70"/>
      <c r="P159" s="70"/>
      <c r="Q159" s="70">
        <v>49390.652000000096</v>
      </c>
      <c r="R159" s="70">
        <v>27096.9333333334</v>
      </c>
      <c r="S159" s="467">
        <f t="shared" si="49"/>
        <v>76487.585333333496</v>
      </c>
      <c r="T159" s="70">
        <v>322224.08133333398</v>
      </c>
      <c r="U159" s="467">
        <f>J159-S159</f>
        <v>322224.08133333398</v>
      </c>
    </row>
    <row r="160" spans="1:21" ht="24.75" customHeight="1">
      <c r="A160" s="2">
        <v>3</v>
      </c>
      <c r="B160" s="9" t="s">
        <v>273</v>
      </c>
      <c r="C160" s="2" t="s">
        <v>274</v>
      </c>
      <c r="D160" s="8" t="s">
        <v>111</v>
      </c>
      <c r="E160" s="70">
        <v>294900.83333333401</v>
      </c>
      <c r="F160" s="70"/>
      <c r="G160" s="186"/>
      <c r="H160" s="186">
        <v>50000</v>
      </c>
      <c r="I160" s="70"/>
      <c r="J160" s="467">
        <f>SUM(E160:I160)</f>
        <v>344900.83333333401</v>
      </c>
      <c r="K160" s="70"/>
      <c r="L160" s="70"/>
      <c r="M160" s="70"/>
      <c r="N160" s="70"/>
      <c r="O160" s="70"/>
      <c r="P160" s="70"/>
      <c r="Q160" s="70">
        <v>40335.578000000103</v>
      </c>
      <c r="R160" s="70">
        <v>23592.066666666698</v>
      </c>
      <c r="S160" s="467">
        <f t="shared" si="49"/>
        <v>63927.644666666798</v>
      </c>
      <c r="T160" s="70">
        <v>280973.18866666697</v>
      </c>
      <c r="U160" s="467">
        <f>J160-S160</f>
        <v>280973.18866666697</v>
      </c>
    </row>
    <row r="161" spans="1:21" s="1" customFormat="1" ht="20.100000000000001" customHeight="1">
      <c r="A161" s="2">
        <v>4</v>
      </c>
      <c r="B161" s="16" t="s">
        <v>275</v>
      </c>
      <c r="C161" s="10" t="s">
        <v>276</v>
      </c>
      <c r="D161" s="13" t="s">
        <v>277</v>
      </c>
      <c r="E161" s="70">
        <v>287890.91666666698</v>
      </c>
      <c r="F161" s="70"/>
      <c r="G161" s="186"/>
      <c r="H161" s="186">
        <f>50000</f>
        <v>50000</v>
      </c>
      <c r="I161" s="70"/>
      <c r="J161" s="467">
        <f>SUM(E161:I161)</f>
        <v>337890.91666666698</v>
      </c>
      <c r="K161" s="70"/>
      <c r="L161" s="638"/>
      <c r="M161" s="638"/>
      <c r="N161" s="638"/>
      <c r="O161" s="780"/>
      <c r="P161" s="780"/>
      <c r="Q161" s="227">
        <v>39174.735800000097</v>
      </c>
      <c r="R161" s="227">
        <v>23031.2733333334</v>
      </c>
      <c r="S161" s="467">
        <f t="shared" si="49"/>
        <v>62206.0091333335</v>
      </c>
      <c r="T161" s="70">
        <v>275684.90753333399</v>
      </c>
      <c r="U161" s="467">
        <f>J161-S161</f>
        <v>275684.907533333</v>
      </c>
    </row>
    <row r="162" spans="1:21" ht="24.75" customHeight="1">
      <c r="A162" s="2">
        <v>5</v>
      </c>
      <c r="B162" s="9" t="s">
        <v>278</v>
      </c>
      <c r="C162" s="2" t="s">
        <v>279</v>
      </c>
      <c r="D162" s="8" t="s">
        <v>111</v>
      </c>
      <c r="E162" s="70">
        <v>294900.83333333401</v>
      </c>
      <c r="F162" s="70"/>
      <c r="G162" s="186"/>
      <c r="H162" s="186">
        <v>50000</v>
      </c>
      <c r="I162" s="70"/>
      <c r="J162" s="467">
        <f>SUM(E162:I162)</f>
        <v>344900.83333333401</v>
      </c>
      <c r="K162" s="70"/>
      <c r="L162" s="70"/>
      <c r="M162" s="70"/>
      <c r="N162" s="70"/>
      <c r="O162" s="70"/>
      <c r="P162" s="70"/>
      <c r="Q162" s="70">
        <v>40335.578000000103</v>
      </c>
      <c r="R162" s="70">
        <v>23592.066666666698</v>
      </c>
      <c r="S162" s="467">
        <f t="shared" si="49"/>
        <v>63927.644666666798</v>
      </c>
      <c r="T162" s="70">
        <v>280973.18866666697</v>
      </c>
      <c r="U162" s="467">
        <f>J162-S162</f>
        <v>280973.18866666697</v>
      </c>
    </row>
    <row r="163" spans="1:21" ht="20.100000000000001" customHeight="1">
      <c r="A163" s="2"/>
      <c r="B163" s="18" t="s">
        <v>120</v>
      </c>
      <c r="C163" s="19">
        <v>5</v>
      </c>
      <c r="D163" s="24"/>
      <c r="E163" s="78">
        <f>SUM(E158:E162)</f>
        <v>1597544.91666667</v>
      </c>
      <c r="F163" s="78">
        <f t="shared" ref="F163:S163" si="50">SUM(F158:F162)</f>
        <v>0</v>
      </c>
      <c r="G163" s="78">
        <f t="shared" si="50"/>
        <v>0</v>
      </c>
      <c r="H163" s="78">
        <f t="shared" si="50"/>
        <v>270000</v>
      </c>
      <c r="I163" s="78">
        <f t="shared" si="50"/>
        <v>0</v>
      </c>
      <c r="J163" s="78">
        <f t="shared" si="50"/>
        <v>1426404.25</v>
      </c>
      <c r="K163" s="78">
        <f t="shared" si="50"/>
        <v>0</v>
      </c>
      <c r="L163" s="78">
        <f t="shared" si="50"/>
        <v>0</v>
      </c>
      <c r="M163" s="78">
        <f t="shared" si="50"/>
        <v>0</v>
      </c>
      <c r="N163" s="78">
        <f t="shared" si="50"/>
        <v>0</v>
      </c>
      <c r="O163" s="78">
        <f t="shared" si="50"/>
        <v>0</v>
      </c>
      <c r="P163" s="78">
        <f t="shared" si="50"/>
        <v>0</v>
      </c>
      <c r="Q163" s="78">
        <f t="shared" si="50"/>
        <v>169236.54380000001</v>
      </c>
      <c r="R163" s="78">
        <f t="shared" si="50"/>
        <v>97312.3400000002</v>
      </c>
      <c r="S163" s="78">
        <f t="shared" si="50"/>
        <v>266548.883800001</v>
      </c>
      <c r="T163" s="78">
        <v>1514087.88513333</v>
      </c>
      <c r="U163" s="78">
        <f>SUM(U158:U162)</f>
        <v>1159855.3662</v>
      </c>
    </row>
    <row r="164" spans="1:21" ht="20.100000000000001" customHeight="1">
      <c r="A164" s="2"/>
      <c r="B164" s="18"/>
      <c r="C164" s="19"/>
      <c r="D164" s="24"/>
      <c r="E164" s="78"/>
      <c r="F164" s="78"/>
      <c r="G164" s="78"/>
      <c r="H164" s="78"/>
      <c r="I164" s="78"/>
      <c r="J164" s="1111"/>
      <c r="K164" s="78"/>
      <c r="L164" s="78"/>
      <c r="M164" s="78"/>
      <c r="N164" s="78"/>
      <c r="O164" s="78"/>
      <c r="P164" s="78"/>
      <c r="Q164" s="78"/>
      <c r="R164" s="78"/>
      <c r="S164" s="1112"/>
      <c r="T164" s="78"/>
      <c r="U164" s="1111"/>
    </row>
    <row r="165" spans="1:21" ht="20.100000000000001" customHeight="1">
      <c r="A165" s="2"/>
      <c r="B165" s="18" t="s">
        <v>280</v>
      </c>
      <c r="C165" s="19"/>
      <c r="D165" s="19"/>
      <c r="E165" s="122"/>
      <c r="F165" s="122"/>
      <c r="G165" s="186"/>
      <c r="H165" s="186"/>
      <c r="I165" s="122"/>
      <c r="J165" s="473"/>
      <c r="K165" s="122"/>
      <c r="L165" s="122"/>
      <c r="M165" s="122"/>
      <c r="N165" s="122"/>
      <c r="O165" s="122"/>
      <c r="P165" s="122"/>
      <c r="Q165" s="122"/>
      <c r="R165" s="122"/>
      <c r="S165" s="467"/>
      <c r="T165" s="70"/>
      <c r="U165" s="466"/>
    </row>
    <row r="166" spans="1:21" ht="20.100000000000001" customHeight="1">
      <c r="A166" s="2">
        <v>1</v>
      </c>
      <c r="B166" s="9" t="s">
        <v>281</v>
      </c>
      <c r="C166" s="10" t="s">
        <v>282</v>
      </c>
      <c r="D166" s="13" t="s">
        <v>124</v>
      </c>
      <c r="E166" s="70">
        <v>1747106.41666666</v>
      </c>
      <c r="F166" s="70"/>
      <c r="G166" s="186"/>
      <c r="H166" s="186">
        <f>100000</f>
        <v>100000</v>
      </c>
      <c r="I166" s="70">
        <v>100000</v>
      </c>
      <c r="J166" s="466">
        <f>SUM(E166:I166)</f>
        <v>1947106.41666666</v>
      </c>
      <c r="K166" s="70"/>
      <c r="L166" s="70">
        <f>200000</f>
        <v>200000</v>
      </c>
      <c r="M166" s="70">
        <f>627777.78</f>
        <v>627777.78</v>
      </c>
      <c r="N166" s="70">
        <v>70000</v>
      </c>
      <c r="O166" s="70"/>
      <c r="P166" s="70">
        <v>27169.427083333299</v>
      </c>
      <c r="Q166" s="70">
        <v>326335.38001249899</v>
      </c>
      <c r="R166" s="70">
        <v>139768.51333333299</v>
      </c>
      <c r="S166" s="467">
        <f t="shared" ref="S166:S177" si="51">SUM(K166:R166)</f>
        <v>1391051.1004291701</v>
      </c>
      <c r="T166" s="70">
        <v>556055.31623749505</v>
      </c>
      <c r="U166" s="466">
        <f>J166-S166</f>
        <v>556055.31623749505</v>
      </c>
    </row>
    <row r="167" spans="1:21" ht="20.100000000000001" customHeight="1">
      <c r="A167" s="2">
        <v>2</v>
      </c>
      <c r="B167" s="9" t="s">
        <v>283</v>
      </c>
      <c r="C167" s="10" t="s">
        <v>284</v>
      </c>
      <c r="D167" s="13" t="s">
        <v>36</v>
      </c>
      <c r="E167" s="70">
        <v>905306.75</v>
      </c>
      <c r="F167" s="70"/>
      <c r="G167" s="186"/>
      <c r="H167" s="186">
        <f>90000</f>
        <v>90000</v>
      </c>
      <c r="I167" s="70">
        <v>100000</v>
      </c>
      <c r="J167" s="466">
        <f t="shared" ref="J167:J177" si="52">SUM(E167:I167)</f>
        <v>1095306.75</v>
      </c>
      <c r="K167" s="70"/>
      <c r="L167" s="70">
        <v>0</v>
      </c>
      <c r="M167" s="70">
        <f>0</f>
        <v>0</v>
      </c>
      <c r="N167" s="70"/>
      <c r="O167" s="70"/>
      <c r="P167" s="70">
        <v>13866.737499999999</v>
      </c>
      <c r="Q167" s="70">
        <v>164393.24922500001</v>
      </c>
      <c r="R167" s="70">
        <v>72424.539999999994</v>
      </c>
      <c r="S167" s="467">
        <f t="shared" si="51"/>
        <v>250684.526725</v>
      </c>
      <c r="T167" s="70">
        <v>844622.223275</v>
      </c>
      <c r="U167" s="466">
        <f t="shared" ref="U167:U177" si="53">J167-S167</f>
        <v>844622.223275</v>
      </c>
    </row>
    <row r="168" spans="1:21" ht="20.100000000000001" customHeight="1">
      <c r="A168" s="2">
        <v>3</v>
      </c>
      <c r="B168" s="12" t="s">
        <v>285</v>
      </c>
      <c r="C168" s="10" t="s">
        <v>284</v>
      </c>
      <c r="D168" s="13" t="s">
        <v>36</v>
      </c>
      <c r="E168" s="70">
        <v>905306.75</v>
      </c>
      <c r="F168" s="70"/>
      <c r="G168" s="186"/>
      <c r="H168" s="186">
        <f>90000</f>
        <v>90000</v>
      </c>
      <c r="I168" s="70">
        <f>100000+30000</f>
        <v>130000</v>
      </c>
      <c r="J168" s="466">
        <f t="shared" si="52"/>
        <v>1125306.75</v>
      </c>
      <c r="K168" s="70"/>
      <c r="L168" s="70">
        <f>350000</f>
        <v>350000</v>
      </c>
      <c r="M168" s="70"/>
      <c r="N168" s="70"/>
      <c r="O168" s="70"/>
      <c r="P168" s="70">
        <v>13866.737499999999</v>
      </c>
      <c r="Q168" s="70">
        <v>170693.24922500001</v>
      </c>
      <c r="R168" s="70">
        <v>72424.539999999994</v>
      </c>
      <c r="S168" s="467">
        <f t="shared" si="51"/>
        <v>606984.526725</v>
      </c>
      <c r="T168" s="70">
        <v>518322.223275</v>
      </c>
      <c r="U168" s="466">
        <f t="shared" si="53"/>
        <v>518322.223275</v>
      </c>
    </row>
    <row r="169" spans="1:21" ht="20.100000000000001" customHeight="1">
      <c r="A169" s="2">
        <v>4</v>
      </c>
      <c r="B169" s="9" t="s">
        <v>286</v>
      </c>
      <c r="C169" s="10" t="s">
        <v>287</v>
      </c>
      <c r="D169" s="13" t="s">
        <v>50</v>
      </c>
      <c r="E169" s="70">
        <v>722595.5</v>
      </c>
      <c r="F169" s="70"/>
      <c r="G169" s="186"/>
      <c r="H169" s="186">
        <f>80000</f>
        <v>80000</v>
      </c>
      <c r="I169" s="70">
        <v>0</v>
      </c>
      <c r="J169" s="466">
        <f t="shared" si="52"/>
        <v>802595.5</v>
      </c>
      <c r="K169" s="70"/>
      <c r="L169" s="70">
        <v>100000</v>
      </c>
      <c r="M169" s="70">
        <v>70000</v>
      </c>
      <c r="N169" s="70">
        <v>50000</v>
      </c>
      <c r="O169" s="70">
        <v>59922.5</v>
      </c>
      <c r="P169" s="70"/>
      <c r="Q169" s="70">
        <v>116561.81479999999</v>
      </c>
      <c r="R169" s="70">
        <v>57807.64</v>
      </c>
      <c r="S169" s="467">
        <f t="shared" si="51"/>
        <v>454291.95480000001</v>
      </c>
      <c r="T169" s="70">
        <v>408226.04519999999</v>
      </c>
      <c r="U169" s="466">
        <f t="shared" si="53"/>
        <v>348303.54519999999</v>
      </c>
    </row>
    <row r="170" spans="1:21" ht="20.100000000000001" customHeight="1">
      <c r="A170" s="2">
        <v>5</v>
      </c>
      <c r="B170" s="9" t="s">
        <v>288</v>
      </c>
      <c r="C170" s="10" t="s">
        <v>287</v>
      </c>
      <c r="D170" s="13" t="s">
        <v>42</v>
      </c>
      <c r="E170" s="70">
        <v>700713.91666666605</v>
      </c>
      <c r="F170" s="70"/>
      <c r="G170" s="186"/>
      <c r="H170" s="186">
        <f>80000</f>
        <v>80000</v>
      </c>
      <c r="I170" s="70">
        <v>0</v>
      </c>
      <c r="J170" s="466">
        <f t="shared" si="52"/>
        <v>780713.91666666605</v>
      </c>
      <c r="K170" s="70"/>
      <c r="L170" s="70">
        <v>5000</v>
      </c>
      <c r="M170" s="70">
        <v>250000</v>
      </c>
      <c r="N170" s="70"/>
      <c r="O170" s="70"/>
      <c r="P170" s="70"/>
      <c r="Q170" s="70">
        <v>112938.2246</v>
      </c>
      <c r="R170" s="70">
        <v>56057.113333333298</v>
      </c>
      <c r="S170" s="467">
        <f t="shared" si="51"/>
        <v>423995.33793333301</v>
      </c>
      <c r="T170" s="70">
        <v>356718.57873333298</v>
      </c>
      <c r="U170" s="466">
        <f t="shared" si="53"/>
        <v>356718.57873333298</v>
      </c>
    </row>
    <row r="171" spans="1:21" ht="20.100000000000001" customHeight="1">
      <c r="A171" s="2">
        <v>6</v>
      </c>
      <c r="B171" s="9" t="s">
        <v>289</v>
      </c>
      <c r="C171" s="10" t="s">
        <v>290</v>
      </c>
      <c r="D171" s="13" t="s">
        <v>47</v>
      </c>
      <c r="E171" s="70">
        <v>573911.08333333395</v>
      </c>
      <c r="F171" s="70"/>
      <c r="G171" s="186"/>
      <c r="H171" s="186">
        <f t="shared" ref="H171:H172" si="54">70000</f>
        <v>70000</v>
      </c>
      <c r="I171" s="70">
        <v>0</v>
      </c>
      <c r="J171" s="466">
        <f t="shared" si="52"/>
        <v>643911.08333333395</v>
      </c>
      <c r="K171" s="70"/>
      <c r="L171" s="70">
        <f>20000</f>
        <v>20000</v>
      </c>
      <c r="M171" s="70">
        <v>75694.44</v>
      </c>
      <c r="N171" s="70"/>
      <c r="O171" s="70"/>
      <c r="P171" s="70">
        <v>8926.6666666666806</v>
      </c>
      <c r="Q171" s="70">
        <v>88532.875400000106</v>
      </c>
      <c r="R171" s="70">
        <v>45912.886666666702</v>
      </c>
      <c r="S171" s="467">
        <f t="shared" si="51"/>
        <v>239066.86873333299</v>
      </c>
      <c r="T171" s="70">
        <v>404844.21460000001</v>
      </c>
      <c r="U171" s="466">
        <f t="shared" si="53"/>
        <v>404844.21460000001</v>
      </c>
    </row>
    <row r="172" spans="1:21" ht="20.100000000000001" customHeight="1">
      <c r="A172" s="2">
        <v>7</v>
      </c>
      <c r="B172" s="9" t="s">
        <v>291</v>
      </c>
      <c r="C172" s="10" t="s">
        <v>290</v>
      </c>
      <c r="D172" s="13" t="s">
        <v>191</v>
      </c>
      <c r="E172" s="70">
        <v>589657</v>
      </c>
      <c r="F172" s="70"/>
      <c r="G172" s="186"/>
      <c r="H172" s="186">
        <f t="shared" si="54"/>
        <v>70000</v>
      </c>
      <c r="I172" s="70"/>
      <c r="J172" s="466">
        <f t="shared" si="52"/>
        <v>659657</v>
      </c>
      <c r="K172" s="70"/>
      <c r="L172" s="70">
        <v>90000</v>
      </c>
      <c r="M172" s="70">
        <f>55000</f>
        <v>55000</v>
      </c>
      <c r="N172" s="70"/>
      <c r="O172" s="70"/>
      <c r="P172" s="70">
        <v>9160.4375</v>
      </c>
      <c r="Q172" s="70">
        <v>91098.320449999999</v>
      </c>
      <c r="R172" s="70">
        <v>47172.56</v>
      </c>
      <c r="S172" s="467">
        <f t="shared" si="51"/>
        <v>292431.31795</v>
      </c>
      <c r="T172" s="70">
        <v>367225.68205</v>
      </c>
      <c r="U172" s="466">
        <f t="shared" si="53"/>
        <v>367225.68205</v>
      </c>
    </row>
    <row r="173" spans="1:21" s="1" customFormat="1" ht="20.100000000000001" customHeight="1">
      <c r="A173" s="2">
        <v>8</v>
      </c>
      <c r="B173" s="16" t="s">
        <v>292</v>
      </c>
      <c r="C173" s="10" t="s">
        <v>293</v>
      </c>
      <c r="D173" s="13" t="s">
        <v>99</v>
      </c>
      <c r="E173" s="70">
        <v>338711.66666666698</v>
      </c>
      <c r="F173" s="70"/>
      <c r="G173" s="186"/>
      <c r="H173" s="186">
        <v>60000</v>
      </c>
      <c r="I173" s="70"/>
      <c r="J173" s="466">
        <f t="shared" si="52"/>
        <v>398711.66666666698</v>
      </c>
      <c r="K173" s="70"/>
      <c r="L173" s="638"/>
      <c r="M173" s="638"/>
      <c r="N173" s="638">
        <v>40000</v>
      </c>
      <c r="O173" s="780">
        <v>39366.25</v>
      </c>
      <c r="P173" s="2"/>
      <c r="Q173" s="638">
        <v>49390.652000000096</v>
      </c>
      <c r="R173" s="639">
        <v>27096.9333333334</v>
      </c>
      <c r="S173" s="467">
        <f t="shared" si="51"/>
        <v>155853.835333333</v>
      </c>
      <c r="T173" s="70">
        <v>282224.08133333398</v>
      </c>
      <c r="U173" s="466">
        <f t="shared" si="53"/>
        <v>242857.83133333299</v>
      </c>
    </row>
    <row r="174" spans="1:21" ht="20.100000000000001" customHeight="1">
      <c r="A174" s="2">
        <v>9</v>
      </c>
      <c r="B174" s="9" t="s">
        <v>294</v>
      </c>
      <c r="C174" s="2" t="s">
        <v>295</v>
      </c>
      <c r="D174" s="13" t="s">
        <v>81</v>
      </c>
      <c r="E174" s="70">
        <v>372145.33333333302</v>
      </c>
      <c r="F174" s="70"/>
      <c r="G174" s="186"/>
      <c r="H174" s="186">
        <v>60000</v>
      </c>
      <c r="I174" s="70"/>
      <c r="J174" s="466">
        <f t="shared" si="52"/>
        <v>432145.33333333302</v>
      </c>
      <c r="K174" s="70"/>
      <c r="L174" s="70">
        <v>15000</v>
      </c>
      <c r="M174" s="70">
        <v>150000</v>
      </c>
      <c r="N174" s="70">
        <v>20000</v>
      </c>
      <c r="O174" s="70">
        <v>29397.5</v>
      </c>
      <c r="P174" s="70"/>
      <c r="Q174" s="70">
        <v>54927.2671999999</v>
      </c>
      <c r="R174" s="70">
        <v>29771.626666666602</v>
      </c>
      <c r="S174" s="467">
        <f t="shared" si="51"/>
        <v>299096.39386666601</v>
      </c>
      <c r="T174" s="70">
        <v>162446.43946666701</v>
      </c>
      <c r="U174" s="466">
        <f t="shared" si="53"/>
        <v>133048.93946666701</v>
      </c>
    </row>
    <row r="175" spans="1:21" ht="20.100000000000001" customHeight="1">
      <c r="A175" s="2">
        <v>10</v>
      </c>
      <c r="B175" s="16" t="s">
        <v>296</v>
      </c>
      <c r="C175" s="10" t="s">
        <v>297</v>
      </c>
      <c r="D175" s="13" t="s">
        <v>105</v>
      </c>
      <c r="E175" s="70">
        <v>308920.66666666698</v>
      </c>
      <c r="F175" s="70"/>
      <c r="G175" s="186"/>
      <c r="H175" s="186">
        <f>50000</f>
        <v>50000</v>
      </c>
      <c r="I175" s="70"/>
      <c r="J175" s="466">
        <f t="shared" si="52"/>
        <v>358920.66666666698</v>
      </c>
      <c r="K175" s="70"/>
      <c r="L175" s="70">
        <f>10000</f>
        <v>10000</v>
      </c>
      <c r="M175" s="70">
        <f>100000</f>
        <v>100000</v>
      </c>
      <c r="N175" s="1105"/>
      <c r="O175" s="860"/>
      <c r="P175" s="860">
        <v>5013.7354166666801</v>
      </c>
      <c r="Q175" s="70">
        <v>41754.790025000002</v>
      </c>
      <c r="R175" s="70">
        <v>24713.653333333401</v>
      </c>
      <c r="S175" s="467">
        <f t="shared" si="51"/>
        <v>181482.17877500001</v>
      </c>
      <c r="T175" s="70">
        <v>177438.487891667</v>
      </c>
      <c r="U175" s="466">
        <f t="shared" si="53"/>
        <v>177438.487891667</v>
      </c>
    </row>
    <row r="176" spans="1:21" ht="20.100000000000001" customHeight="1">
      <c r="A176" s="2">
        <v>11</v>
      </c>
      <c r="B176" s="16" t="s">
        <v>298</v>
      </c>
      <c r="C176" s="10" t="s">
        <v>293</v>
      </c>
      <c r="D176" s="13" t="s">
        <v>105</v>
      </c>
      <c r="E176" s="70">
        <v>308920.66666666698</v>
      </c>
      <c r="F176" s="70"/>
      <c r="G176" s="186"/>
      <c r="H176" s="186">
        <v>50000</v>
      </c>
      <c r="I176" s="70"/>
      <c r="J176" s="466">
        <f t="shared" si="52"/>
        <v>358920.66666666698</v>
      </c>
      <c r="K176" s="70"/>
      <c r="L176" s="70">
        <f>10000+10000</f>
        <v>20000</v>
      </c>
      <c r="M176" s="70">
        <v>63888.89</v>
      </c>
      <c r="N176" s="1105"/>
      <c r="O176" s="860">
        <v>9191.8799999999992</v>
      </c>
      <c r="P176" s="860">
        <v>5013.7354166666801</v>
      </c>
      <c r="Q176" s="70">
        <v>41754.790025000002</v>
      </c>
      <c r="R176" s="70">
        <v>24713.653333333401</v>
      </c>
      <c r="S176" s="467">
        <f t="shared" si="51"/>
        <v>164562.948775</v>
      </c>
      <c r="T176" s="70">
        <v>203549.59789166701</v>
      </c>
      <c r="U176" s="466">
        <f t="shared" si="53"/>
        <v>194357.71789166701</v>
      </c>
    </row>
    <row r="177" spans="1:21" ht="20.100000000000001" customHeight="1">
      <c r="A177" s="2">
        <v>12</v>
      </c>
      <c r="B177" s="16" t="s">
        <v>299</v>
      </c>
      <c r="C177" s="10" t="s">
        <v>297</v>
      </c>
      <c r="D177" s="13" t="s">
        <v>108</v>
      </c>
      <c r="E177" s="883">
        <v>301910.75</v>
      </c>
      <c r="F177" s="70"/>
      <c r="G177" s="186"/>
      <c r="H177" s="186">
        <v>50000</v>
      </c>
      <c r="I177" s="70"/>
      <c r="J177" s="466">
        <f t="shared" si="52"/>
        <v>351910.75</v>
      </c>
      <c r="K177" s="70"/>
      <c r="L177" s="638">
        <f>20000</f>
        <v>20000</v>
      </c>
      <c r="M177" s="638">
        <v>80000</v>
      </c>
      <c r="N177" s="1106"/>
      <c r="O177" s="860">
        <v>11550</v>
      </c>
      <c r="P177" s="860">
        <v>4909.1104166666801</v>
      </c>
      <c r="Q177" s="638">
        <v>40612.780325</v>
      </c>
      <c r="R177" s="639">
        <v>24152.86</v>
      </c>
      <c r="S177" s="467">
        <f t="shared" si="51"/>
        <v>181224.750741667</v>
      </c>
      <c r="T177" s="70">
        <v>182235.999258333</v>
      </c>
      <c r="U177" s="466">
        <f t="shared" si="53"/>
        <v>170685.999258333</v>
      </c>
    </row>
    <row r="178" spans="1:21" ht="28.5" customHeight="1">
      <c r="A178" s="2"/>
      <c r="B178" s="18" t="s">
        <v>120</v>
      </c>
      <c r="C178" s="24" t="s">
        <v>300</v>
      </c>
      <c r="D178" s="13"/>
      <c r="E178" s="187">
        <f>SUM(E166:E177)</f>
        <v>7775206.4999999898</v>
      </c>
      <c r="F178" s="187">
        <f t="shared" ref="F178:S178" si="55">SUM(F166:F177)</f>
        <v>0</v>
      </c>
      <c r="G178" s="187">
        <f t="shared" si="55"/>
        <v>0</v>
      </c>
      <c r="H178" s="187">
        <f t="shared" si="55"/>
        <v>850000</v>
      </c>
      <c r="I178" s="187">
        <f t="shared" si="55"/>
        <v>330000</v>
      </c>
      <c r="J178" s="187">
        <f t="shared" si="55"/>
        <v>8955206.4999999907</v>
      </c>
      <c r="K178" s="187">
        <f t="shared" si="55"/>
        <v>0</v>
      </c>
      <c r="L178" s="187">
        <f t="shared" si="55"/>
        <v>830000</v>
      </c>
      <c r="M178" s="187">
        <f t="shared" si="55"/>
        <v>1472361.11</v>
      </c>
      <c r="N178" s="187">
        <f t="shared" si="55"/>
        <v>180000</v>
      </c>
      <c r="O178" s="187">
        <f t="shared" si="55"/>
        <v>149428.13</v>
      </c>
      <c r="P178" s="187">
        <f t="shared" si="55"/>
        <v>87926.587499999994</v>
      </c>
      <c r="Q178" s="187">
        <f t="shared" si="55"/>
        <v>1298993.3932874999</v>
      </c>
      <c r="R178" s="187">
        <f t="shared" si="55"/>
        <v>622016.52</v>
      </c>
      <c r="S178" s="187">
        <f t="shared" si="55"/>
        <v>4640725.7407874996</v>
      </c>
      <c r="T178" s="187">
        <v>4463908.8892124901</v>
      </c>
      <c r="U178" s="187">
        <f>SUM(U166:U177)</f>
        <v>4314480.7592125004</v>
      </c>
    </row>
    <row r="179" spans="1:21" ht="20.100000000000001" customHeight="1">
      <c r="A179" s="2"/>
      <c r="B179" s="20"/>
      <c r="C179" s="24"/>
      <c r="D179" s="13"/>
      <c r="E179" s="122"/>
      <c r="F179" s="122"/>
      <c r="G179" s="186"/>
      <c r="H179" s="186"/>
      <c r="I179" s="122"/>
      <c r="J179" s="473"/>
      <c r="K179" s="122"/>
      <c r="L179" s="122"/>
      <c r="M179" s="122"/>
      <c r="N179" s="122"/>
      <c r="O179" s="122"/>
      <c r="P179" s="122"/>
      <c r="Q179" s="122"/>
      <c r="R179" s="122"/>
      <c r="S179" s="474"/>
      <c r="T179" s="122"/>
      <c r="U179" s="473"/>
    </row>
    <row r="180" spans="1:21" ht="20.100000000000001" customHeight="1">
      <c r="A180" s="2"/>
      <c r="B180" s="18" t="s">
        <v>301</v>
      </c>
      <c r="C180" s="10"/>
      <c r="D180" s="13"/>
      <c r="E180" s="70"/>
      <c r="F180" s="70"/>
      <c r="G180" s="186"/>
      <c r="H180" s="186"/>
      <c r="I180" s="70"/>
      <c r="J180" s="466"/>
      <c r="K180" s="70"/>
      <c r="L180" s="70"/>
      <c r="M180" s="70"/>
      <c r="N180" s="70"/>
      <c r="O180" s="70"/>
      <c r="P180" s="70"/>
      <c r="Q180" s="70"/>
      <c r="R180" s="70"/>
      <c r="S180" s="467"/>
      <c r="T180" s="70"/>
      <c r="U180" s="466"/>
    </row>
    <row r="181" spans="1:21" ht="20.100000000000001" customHeight="1">
      <c r="A181" s="25">
        <v>1</v>
      </c>
      <c r="B181" s="12" t="s">
        <v>302</v>
      </c>
      <c r="C181" s="2" t="s">
        <v>303</v>
      </c>
      <c r="D181" s="8" t="s">
        <v>304</v>
      </c>
      <c r="E181" s="70">
        <v>1697359.33333333</v>
      </c>
      <c r="F181" s="70"/>
      <c r="G181" s="186"/>
      <c r="H181" s="186">
        <v>100000</v>
      </c>
      <c r="I181" s="70"/>
      <c r="J181" s="466">
        <f>E181+F181+G181+H181+I181</f>
        <v>1797359.33333333</v>
      </c>
      <c r="K181" s="70"/>
      <c r="L181" s="70">
        <f>20000+60000</f>
        <v>80000</v>
      </c>
      <c r="M181" s="70">
        <v>446457.79</v>
      </c>
      <c r="N181" s="70">
        <v>40000</v>
      </c>
      <c r="O181" s="70">
        <v>55907.5</v>
      </c>
      <c r="P181" s="70">
        <v>26406.820833333299</v>
      </c>
      <c r="Q181" s="70">
        <v>295884.39082499902</v>
      </c>
      <c r="R181" s="70">
        <v>135788.746666666</v>
      </c>
      <c r="S181" s="467">
        <f t="shared" ref="S181:S244" si="56">SUM(K181:R181)</f>
        <v>1080445.2483250001</v>
      </c>
      <c r="T181" s="70">
        <v>772821.58500833204</v>
      </c>
      <c r="U181" s="466">
        <f>J181-S181</f>
        <v>716914.08500833204</v>
      </c>
    </row>
    <row r="182" spans="1:21" ht="20.100000000000001" customHeight="1">
      <c r="A182" s="25">
        <v>2</v>
      </c>
      <c r="B182" s="12" t="s">
        <v>305</v>
      </c>
      <c r="C182" s="2" t="s">
        <v>306</v>
      </c>
      <c r="D182" s="14" t="s">
        <v>36</v>
      </c>
      <c r="E182" s="70">
        <v>905306.75</v>
      </c>
      <c r="F182" s="70"/>
      <c r="G182" s="186"/>
      <c r="H182" s="186">
        <f>80000+10000</f>
        <v>90000</v>
      </c>
      <c r="I182" s="70">
        <v>50000</v>
      </c>
      <c r="J182" s="466">
        <f t="shared" ref="J182:J221" si="57">E182+F182+G182+H182+I182</f>
        <v>1045306.75</v>
      </c>
      <c r="K182" s="70"/>
      <c r="L182" s="70">
        <f>37500</f>
        <v>37500</v>
      </c>
      <c r="M182" s="70">
        <v>319444.44</v>
      </c>
      <c r="N182" s="70"/>
      <c r="O182" s="70"/>
      <c r="P182" s="70">
        <v>13866.737499999999</v>
      </c>
      <c r="Q182" s="70">
        <v>155122.78505000001</v>
      </c>
      <c r="R182" s="70">
        <v>72424.539999999994</v>
      </c>
      <c r="S182" s="467">
        <f t="shared" si="56"/>
        <v>598358.50254999998</v>
      </c>
      <c r="T182" s="70">
        <v>446948.24745000002</v>
      </c>
      <c r="U182" s="466">
        <f t="shared" ref="U182:U212" si="58">J182-S182</f>
        <v>446948.24745000002</v>
      </c>
    </row>
    <row r="183" spans="1:21" ht="20.100000000000001" customHeight="1">
      <c r="A183" s="25">
        <v>3</v>
      </c>
      <c r="B183" s="9" t="s">
        <v>307</v>
      </c>
      <c r="C183" s="10" t="s">
        <v>308</v>
      </c>
      <c r="D183" s="13" t="s">
        <v>50</v>
      </c>
      <c r="E183" s="70">
        <v>722595.5</v>
      </c>
      <c r="F183" s="70"/>
      <c r="G183" s="186"/>
      <c r="H183" s="186">
        <v>80000</v>
      </c>
      <c r="I183" s="70"/>
      <c r="J183" s="466">
        <f t="shared" si="57"/>
        <v>802595.5</v>
      </c>
      <c r="K183" s="70"/>
      <c r="L183" s="70">
        <f>100000</f>
        <v>100000</v>
      </c>
      <c r="M183" s="70">
        <f>191666.67</f>
        <v>191666.67</v>
      </c>
      <c r="N183" s="70">
        <v>22000</v>
      </c>
      <c r="O183" s="70"/>
      <c r="P183" s="70">
        <v>11149.895833333299</v>
      </c>
      <c r="Q183" s="70">
        <v>114554.83355</v>
      </c>
      <c r="R183" s="70">
        <v>57807.64</v>
      </c>
      <c r="S183" s="467">
        <f t="shared" si="56"/>
        <v>497179.039383333</v>
      </c>
      <c r="T183" s="70">
        <v>327416.460616667</v>
      </c>
      <c r="U183" s="466">
        <f t="shared" si="58"/>
        <v>305416.460616667</v>
      </c>
    </row>
    <row r="184" spans="1:21" ht="20.100000000000001" customHeight="1">
      <c r="A184" s="25">
        <v>4</v>
      </c>
      <c r="B184" s="9" t="s">
        <v>309</v>
      </c>
      <c r="C184" s="2" t="s">
        <v>310</v>
      </c>
      <c r="D184" s="13" t="s">
        <v>50</v>
      </c>
      <c r="E184" s="70">
        <v>722595.5</v>
      </c>
      <c r="F184" s="70"/>
      <c r="G184" s="186"/>
      <c r="H184" s="186">
        <v>80000</v>
      </c>
      <c r="I184" s="70">
        <v>0</v>
      </c>
      <c r="J184" s="466">
        <f t="shared" si="57"/>
        <v>802595.5</v>
      </c>
      <c r="K184" s="70"/>
      <c r="L184" s="70">
        <v>20000</v>
      </c>
      <c r="M184" s="70">
        <v>28750</v>
      </c>
      <c r="N184" s="70">
        <v>10000</v>
      </c>
      <c r="O184" s="70">
        <v>52976</v>
      </c>
      <c r="P184" s="70">
        <v>11149.895833333299</v>
      </c>
      <c r="Q184" s="70">
        <v>114554.83355</v>
      </c>
      <c r="R184" s="70">
        <v>57807.64</v>
      </c>
      <c r="S184" s="467">
        <f t="shared" si="56"/>
        <v>295238.36938333302</v>
      </c>
      <c r="T184" s="70">
        <v>560333.13061666698</v>
      </c>
      <c r="U184" s="466">
        <f t="shared" si="58"/>
        <v>507357.13061666698</v>
      </c>
    </row>
    <row r="185" spans="1:21" ht="20.100000000000001" customHeight="1">
      <c r="A185" s="25">
        <v>5</v>
      </c>
      <c r="B185" s="9" t="s">
        <v>311</v>
      </c>
      <c r="C185" s="2" t="s">
        <v>310</v>
      </c>
      <c r="D185" s="13" t="s">
        <v>50</v>
      </c>
      <c r="E185" s="70">
        <v>722595.5</v>
      </c>
      <c r="F185" s="70"/>
      <c r="G185" s="186"/>
      <c r="H185" s="186">
        <v>80000</v>
      </c>
      <c r="I185" s="70">
        <v>0</v>
      </c>
      <c r="J185" s="466">
        <f t="shared" si="57"/>
        <v>802595.5</v>
      </c>
      <c r="K185" s="70"/>
      <c r="L185" s="70">
        <f>0</f>
        <v>0</v>
      </c>
      <c r="M185" s="70">
        <v>0</v>
      </c>
      <c r="N185" s="70">
        <v>17000</v>
      </c>
      <c r="O185" s="70">
        <v>19214.11</v>
      </c>
      <c r="P185" s="70">
        <v>11149.895833333299</v>
      </c>
      <c r="Q185" s="70">
        <v>114554.83355</v>
      </c>
      <c r="R185" s="70">
        <v>57807.64</v>
      </c>
      <c r="S185" s="467">
        <f t="shared" si="56"/>
        <v>219726.479383333</v>
      </c>
      <c r="T185" s="70">
        <v>619083.13061666698</v>
      </c>
      <c r="U185" s="466">
        <f t="shared" si="58"/>
        <v>582869.020616667</v>
      </c>
    </row>
    <row r="186" spans="1:21" ht="20.100000000000001" customHeight="1">
      <c r="A186" s="25">
        <v>6</v>
      </c>
      <c r="B186" s="9" t="s">
        <v>312</v>
      </c>
      <c r="C186" s="2" t="s">
        <v>313</v>
      </c>
      <c r="D186" s="8" t="s">
        <v>53</v>
      </c>
      <c r="E186" s="70">
        <v>542419.5</v>
      </c>
      <c r="F186" s="70"/>
      <c r="G186" s="186"/>
      <c r="H186" s="186">
        <v>70000</v>
      </c>
      <c r="I186" s="70"/>
      <c r="J186" s="466">
        <f t="shared" si="57"/>
        <v>612419.5</v>
      </c>
      <c r="K186" s="70"/>
      <c r="L186" s="70"/>
      <c r="M186" s="70"/>
      <c r="N186" s="70">
        <v>25000</v>
      </c>
      <c r="O186" s="70"/>
      <c r="P186" s="70"/>
      <c r="Q186" s="70">
        <v>84924.669200000004</v>
      </c>
      <c r="R186" s="70">
        <v>43393.56</v>
      </c>
      <c r="S186" s="467">
        <f t="shared" si="56"/>
        <v>153318.2292</v>
      </c>
      <c r="T186" s="70">
        <v>459101.2708</v>
      </c>
      <c r="U186" s="466">
        <f t="shared" si="58"/>
        <v>459101.2708</v>
      </c>
    </row>
    <row r="187" spans="1:21" ht="20.100000000000001" customHeight="1">
      <c r="A187" s="25">
        <v>7</v>
      </c>
      <c r="B187" s="9" t="s">
        <v>314</v>
      </c>
      <c r="C187" s="10" t="s">
        <v>232</v>
      </c>
      <c r="D187" s="13" t="s">
        <v>64</v>
      </c>
      <c r="E187" s="70">
        <v>497472.75</v>
      </c>
      <c r="F187" s="70"/>
      <c r="G187" s="186"/>
      <c r="H187" s="186">
        <f>70000</f>
        <v>70000</v>
      </c>
      <c r="I187" s="70">
        <v>0</v>
      </c>
      <c r="J187" s="466">
        <f t="shared" si="57"/>
        <v>567472.75</v>
      </c>
      <c r="K187" s="70"/>
      <c r="L187" s="70"/>
      <c r="M187" s="70">
        <f>100000</f>
        <v>100000</v>
      </c>
      <c r="N187" s="70"/>
      <c r="O187" s="70"/>
      <c r="P187" s="70"/>
      <c r="Q187" s="70">
        <v>77481.487399999998</v>
      </c>
      <c r="R187" s="70">
        <v>39797.82</v>
      </c>
      <c r="S187" s="467">
        <f t="shared" si="56"/>
        <v>217279.30739999999</v>
      </c>
      <c r="T187" s="70">
        <v>350193.44260000001</v>
      </c>
      <c r="U187" s="466">
        <f t="shared" si="58"/>
        <v>350193.44260000001</v>
      </c>
    </row>
    <row r="188" spans="1:21" ht="20.100000000000001" customHeight="1">
      <c r="A188" s="25">
        <v>8</v>
      </c>
      <c r="B188" s="9" t="s">
        <v>315</v>
      </c>
      <c r="C188" s="2" t="s">
        <v>316</v>
      </c>
      <c r="D188" s="13" t="s">
        <v>64</v>
      </c>
      <c r="E188" s="70">
        <v>497472.75</v>
      </c>
      <c r="F188" s="70"/>
      <c r="G188" s="186"/>
      <c r="H188" s="186">
        <f>120000</f>
        <v>120000</v>
      </c>
      <c r="I188" s="70"/>
      <c r="J188" s="466">
        <f t="shared" si="57"/>
        <v>617472.75</v>
      </c>
      <c r="K188" s="70"/>
      <c r="L188" s="70">
        <v>20000</v>
      </c>
      <c r="M188" s="70">
        <v>96206.93</v>
      </c>
      <c r="N188" s="70"/>
      <c r="O188" s="70"/>
      <c r="P188" s="70"/>
      <c r="Q188" s="70">
        <v>86481.487399999998</v>
      </c>
      <c r="R188" s="70">
        <v>39797.82</v>
      </c>
      <c r="S188" s="467">
        <f t="shared" si="56"/>
        <v>242486.23740000001</v>
      </c>
      <c r="T188" s="70">
        <v>374986.51260000002</v>
      </c>
      <c r="U188" s="466">
        <f t="shared" si="58"/>
        <v>374986.51260000002</v>
      </c>
    </row>
    <row r="189" spans="1:21" ht="20.100000000000001" customHeight="1">
      <c r="A189" s="25">
        <v>9</v>
      </c>
      <c r="B189" s="9" t="s">
        <v>317</v>
      </c>
      <c r="C189" s="10" t="s">
        <v>318</v>
      </c>
      <c r="D189" s="13" t="s">
        <v>67</v>
      </c>
      <c r="E189" s="70">
        <v>482846.58333333401</v>
      </c>
      <c r="F189" s="70"/>
      <c r="G189" s="186"/>
      <c r="H189" s="186">
        <f>70000</f>
        <v>70000</v>
      </c>
      <c r="I189" s="70"/>
      <c r="J189" s="466">
        <f t="shared" si="57"/>
        <v>552846.58333333395</v>
      </c>
      <c r="K189" s="70"/>
      <c r="L189" s="70">
        <v>50000</v>
      </c>
      <c r="M189" s="70">
        <v>200000</v>
      </c>
      <c r="N189" s="70"/>
      <c r="O189" s="70"/>
      <c r="P189" s="70"/>
      <c r="Q189" s="70">
        <v>75059.394200000097</v>
      </c>
      <c r="R189" s="70">
        <v>38627.726666666698</v>
      </c>
      <c r="S189" s="467">
        <f t="shared" si="56"/>
        <v>363687.12086666701</v>
      </c>
      <c r="T189" s="70">
        <v>189159.462466667</v>
      </c>
      <c r="U189" s="466">
        <f t="shared" si="58"/>
        <v>189159.462466667</v>
      </c>
    </row>
    <row r="190" spans="1:21" ht="20.100000000000001" customHeight="1">
      <c r="A190" s="25">
        <v>10</v>
      </c>
      <c r="B190" s="9" t="s">
        <v>319</v>
      </c>
      <c r="C190" s="10" t="s">
        <v>320</v>
      </c>
      <c r="D190" s="13" t="s">
        <v>172</v>
      </c>
      <c r="E190" s="70">
        <v>482662.66666666698</v>
      </c>
      <c r="F190" s="70"/>
      <c r="G190" s="186"/>
      <c r="H190" s="186">
        <f t="shared" ref="H190:H198" si="59">60000</f>
        <v>60000</v>
      </c>
      <c r="I190" s="70"/>
      <c r="J190" s="466">
        <f t="shared" si="57"/>
        <v>542662.66666666698</v>
      </c>
      <c r="K190" s="70"/>
      <c r="L190" s="70">
        <f t="shared" ref="L190:L193" si="60">10000</f>
        <v>10000</v>
      </c>
      <c r="M190" s="70">
        <v>100000</v>
      </c>
      <c r="N190" s="70"/>
      <c r="O190" s="70"/>
      <c r="P190" s="70">
        <v>7571.9666666666699</v>
      </c>
      <c r="Q190" s="70">
        <v>71865.983600000094</v>
      </c>
      <c r="R190" s="70">
        <v>38613.013333333402</v>
      </c>
      <c r="S190" s="467">
        <f t="shared" si="56"/>
        <v>228050.96359999999</v>
      </c>
      <c r="T190" s="70">
        <v>314611.70306666702</v>
      </c>
      <c r="U190" s="466">
        <f t="shared" si="58"/>
        <v>314611.70306666702</v>
      </c>
    </row>
    <row r="191" spans="1:21" ht="20.100000000000001" customHeight="1">
      <c r="A191" s="25">
        <v>11</v>
      </c>
      <c r="B191" s="16" t="s">
        <v>321</v>
      </c>
      <c r="C191" s="2" t="s">
        <v>322</v>
      </c>
      <c r="D191" s="13" t="s">
        <v>70</v>
      </c>
      <c r="E191" s="186">
        <v>468828.16666666698</v>
      </c>
      <c r="F191" s="70"/>
      <c r="G191" s="186"/>
      <c r="H191" s="186">
        <v>60000</v>
      </c>
      <c r="I191" s="70"/>
      <c r="J191" s="466">
        <f t="shared" si="57"/>
        <v>528828.16666666698</v>
      </c>
      <c r="K191" s="70"/>
      <c r="L191" s="70">
        <v>50000</v>
      </c>
      <c r="M191" s="70"/>
      <c r="N191" s="70"/>
      <c r="O191" s="70"/>
      <c r="P191" s="70">
        <v>7366.5729166666797</v>
      </c>
      <c r="Q191" s="70">
        <v>69611.961275000096</v>
      </c>
      <c r="R191" s="70">
        <v>37506.253333333399</v>
      </c>
      <c r="S191" s="467">
        <f t="shared" si="56"/>
        <v>164484.78752499999</v>
      </c>
      <c r="T191" s="70">
        <v>364343.37914166698</v>
      </c>
      <c r="U191" s="466">
        <f t="shared" si="58"/>
        <v>364343.37914166698</v>
      </c>
    </row>
    <row r="192" spans="1:21" ht="20.100000000000001" customHeight="1">
      <c r="A192" s="25">
        <v>12</v>
      </c>
      <c r="B192" s="9" t="s">
        <v>323</v>
      </c>
      <c r="C192" s="2" t="s">
        <v>322</v>
      </c>
      <c r="D192" s="13" t="s">
        <v>131</v>
      </c>
      <c r="E192" s="186">
        <v>454993.58333333302</v>
      </c>
      <c r="F192" s="70"/>
      <c r="G192" s="186"/>
      <c r="H192" s="186">
        <f t="shared" si="59"/>
        <v>60000</v>
      </c>
      <c r="I192" s="70"/>
      <c r="J192" s="466">
        <f t="shared" si="57"/>
        <v>514993.58333333302</v>
      </c>
      <c r="K192" s="70"/>
      <c r="L192" s="70">
        <f t="shared" si="60"/>
        <v>10000</v>
      </c>
      <c r="M192" s="70">
        <f>100000</f>
        <v>100000</v>
      </c>
      <c r="N192" s="70"/>
      <c r="O192" s="70"/>
      <c r="P192" s="70"/>
      <c r="Q192" s="70">
        <v>68646.937399999995</v>
      </c>
      <c r="R192" s="70">
        <v>36399.486666666598</v>
      </c>
      <c r="S192" s="467">
        <f t="shared" si="56"/>
        <v>215046.42406666701</v>
      </c>
      <c r="T192" s="70">
        <v>299947.15926666599</v>
      </c>
      <c r="U192" s="466">
        <f t="shared" si="58"/>
        <v>299947.15926666599</v>
      </c>
    </row>
    <row r="193" spans="1:21" ht="20.100000000000001" customHeight="1">
      <c r="A193" s="25">
        <v>13</v>
      </c>
      <c r="B193" s="9" t="s">
        <v>324</v>
      </c>
      <c r="C193" s="2" t="s">
        <v>322</v>
      </c>
      <c r="D193" s="13" t="s">
        <v>131</v>
      </c>
      <c r="E193" s="186">
        <v>454993.58333333302</v>
      </c>
      <c r="F193" s="70"/>
      <c r="G193" s="186"/>
      <c r="H193" s="186">
        <f t="shared" si="59"/>
        <v>60000</v>
      </c>
      <c r="I193" s="70"/>
      <c r="J193" s="466">
        <f t="shared" si="57"/>
        <v>514993.58333333302</v>
      </c>
      <c r="K193" s="70"/>
      <c r="L193" s="70">
        <f t="shared" si="60"/>
        <v>10000</v>
      </c>
      <c r="M193" s="70">
        <v>87500</v>
      </c>
      <c r="N193" s="70"/>
      <c r="O193" s="70"/>
      <c r="P193" s="70">
        <v>7161.1770833333303</v>
      </c>
      <c r="Q193" s="70">
        <v>67357.925524999999</v>
      </c>
      <c r="R193" s="70">
        <v>36399.486666666598</v>
      </c>
      <c r="S193" s="467">
        <f t="shared" si="56"/>
        <v>208418.58927500001</v>
      </c>
      <c r="T193" s="70">
        <v>306574.99405833299</v>
      </c>
      <c r="U193" s="466">
        <f t="shared" si="58"/>
        <v>306574.99405833299</v>
      </c>
    </row>
    <row r="194" spans="1:21" ht="20.100000000000001" customHeight="1">
      <c r="A194" s="25">
        <v>14</v>
      </c>
      <c r="B194" s="9" t="s">
        <v>325</v>
      </c>
      <c r="C194" s="2" t="s">
        <v>322</v>
      </c>
      <c r="D194" s="13" t="s">
        <v>131</v>
      </c>
      <c r="E194" s="186">
        <v>454993.58333333302</v>
      </c>
      <c r="F194" s="70"/>
      <c r="G194" s="186"/>
      <c r="H194" s="186">
        <f t="shared" si="59"/>
        <v>60000</v>
      </c>
      <c r="I194" s="70"/>
      <c r="J194" s="466">
        <f t="shared" si="57"/>
        <v>514993.58333333302</v>
      </c>
      <c r="K194" s="70"/>
      <c r="L194" s="70"/>
      <c r="M194" s="70"/>
      <c r="N194" s="70">
        <v>40000</v>
      </c>
      <c r="O194" s="70"/>
      <c r="P194" s="70">
        <v>7161.1770833333303</v>
      </c>
      <c r="Q194" s="70">
        <v>67357.925524999999</v>
      </c>
      <c r="R194" s="70">
        <v>36399.486666666598</v>
      </c>
      <c r="S194" s="467">
        <f t="shared" si="56"/>
        <v>150918.58927500001</v>
      </c>
      <c r="T194" s="70">
        <v>364074.99405833299</v>
      </c>
      <c r="U194" s="466">
        <f t="shared" si="58"/>
        <v>364074.99405833299</v>
      </c>
    </row>
    <row r="195" spans="1:21" ht="20.100000000000001" customHeight="1">
      <c r="A195" s="25">
        <v>15</v>
      </c>
      <c r="B195" s="9" t="s">
        <v>326</v>
      </c>
      <c r="C195" s="2" t="s">
        <v>322</v>
      </c>
      <c r="D195" s="13" t="s">
        <v>70</v>
      </c>
      <c r="E195" s="186">
        <v>468828.16666666698</v>
      </c>
      <c r="F195" s="70"/>
      <c r="G195" s="186"/>
      <c r="H195" s="186">
        <f t="shared" si="59"/>
        <v>60000</v>
      </c>
      <c r="I195" s="70"/>
      <c r="J195" s="466">
        <f t="shared" si="57"/>
        <v>528828.16666666698</v>
      </c>
      <c r="K195" s="70"/>
      <c r="L195" s="70">
        <f>10000</f>
        <v>10000</v>
      </c>
      <c r="M195" s="70"/>
      <c r="N195" s="70">
        <v>40000</v>
      </c>
      <c r="O195" s="70">
        <v>7265.9</v>
      </c>
      <c r="P195" s="70"/>
      <c r="Q195" s="70">
        <v>70937.944400000095</v>
      </c>
      <c r="R195" s="70">
        <v>37506.253333333399</v>
      </c>
      <c r="S195" s="467">
        <f t="shared" si="56"/>
        <v>165710.09773333301</v>
      </c>
      <c r="T195" s="70">
        <v>370383.968933333</v>
      </c>
      <c r="U195" s="466">
        <f t="shared" si="58"/>
        <v>363118.06893333403</v>
      </c>
    </row>
    <row r="196" spans="1:21" ht="20.100000000000001" customHeight="1">
      <c r="A196" s="25">
        <v>16</v>
      </c>
      <c r="B196" s="9" t="s">
        <v>327</v>
      </c>
      <c r="C196" s="10" t="s">
        <v>328</v>
      </c>
      <c r="D196" s="13" t="s">
        <v>151</v>
      </c>
      <c r="E196" s="186">
        <v>399131.16666666698</v>
      </c>
      <c r="F196" s="70"/>
      <c r="G196" s="186"/>
      <c r="H196" s="186">
        <f t="shared" si="59"/>
        <v>60000</v>
      </c>
      <c r="I196" s="70"/>
      <c r="J196" s="466">
        <f t="shared" si="57"/>
        <v>459131.16666666698</v>
      </c>
      <c r="K196" s="70"/>
      <c r="L196" s="70">
        <f>30000</f>
        <v>30000</v>
      </c>
      <c r="M196" s="70"/>
      <c r="N196" s="70"/>
      <c r="O196" s="70"/>
      <c r="P196" s="70">
        <v>6286.6979166666797</v>
      </c>
      <c r="Q196" s="70">
        <v>58264.515575000099</v>
      </c>
      <c r="R196" s="70">
        <v>31930.493333333401</v>
      </c>
      <c r="S196" s="467">
        <f t="shared" si="56"/>
        <v>126481.706825</v>
      </c>
      <c r="T196" s="70">
        <v>332649.45984166698</v>
      </c>
      <c r="U196" s="466">
        <f t="shared" si="58"/>
        <v>332649.45984166698</v>
      </c>
    </row>
    <row r="197" spans="1:21" ht="20.100000000000001" customHeight="1">
      <c r="A197" s="25">
        <v>17</v>
      </c>
      <c r="B197" s="9" t="s">
        <v>329</v>
      </c>
      <c r="C197" s="10" t="s">
        <v>330</v>
      </c>
      <c r="D197" s="8" t="s">
        <v>81</v>
      </c>
      <c r="E197" s="70">
        <v>372145.33333333302</v>
      </c>
      <c r="F197" s="70"/>
      <c r="G197" s="186"/>
      <c r="H197" s="186">
        <f t="shared" si="59"/>
        <v>60000</v>
      </c>
      <c r="I197" s="70"/>
      <c r="J197" s="466">
        <f t="shared" si="57"/>
        <v>432145.33333333302</v>
      </c>
      <c r="K197" s="70"/>
      <c r="L197" s="70">
        <f>30000</f>
        <v>30000</v>
      </c>
      <c r="M197" s="70"/>
      <c r="N197" s="70"/>
      <c r="O197" s="70"/>
      <c r="P197" s="70">
        <v>5889.4458333333296</v>
      </c>
      <c r="Q197" s="70">
        <v>53867.166949999999</v>
      </c>
      <c r="R197" s="70">
        <v>29771.626666666602</v>
      </c>
      <c r="S197" s="467">
        <f t="shared" si="56"/>
        <v>119528.23944999999</v>
      </c>
      <c r="T197" s="70">
        <v>312617.09388333297</v>
      </c>
      <c r="U197" s="466">
        <f t="shared" si="58"/>
        <v>312617.09388333297</v>
      </c>
    </row>
    <row r="198" spans="1:21" ht="20.100000000000001" customHeight="1">
      <c r="A198" s="25">
        <v>18</v>
      </c>
      <c r="B198" s="9" t="s">
        <v>331</v>
      </c>
      <c r="C198" s="2" t="s">
        <v>332</v>
      </c>
      <c r="D198" s="13" t="s">
        <v>131</v>
      </c>
      <c r="E198" s="186">
        <v>454993.58333333302</v>
      </c>
      <c r="F198" s="70"/>
      <c r="G198" s="186"/>
      <c r="H198" s="186">
        <f t="shared" si="59"/>
        <v>60000</v>
      </c>
      <c r="I198" s="70"/>
      <c r="J198" s="466">
        <f t="shared" si="57"/>
        <v>514993.58333333302</v>
      </c>
      <c r="K198" s="70"/>
      <c r="L198" s="70">
        <v>10000</v>
      </c>
      <c r="M198" s="70">
        <v>45833.33</v>
      </c>
      <c r="N198" s="70">
        <v>50000</v>
      </c>
      <c r="O198" s="70"/>
      <c r="P198" s="70"/>
      <c r="Q198" s="70">
        <v>68646.937399999995</v>
      </c>
      <c r="R198" s="70">
        <v>36399.486666666598</v>
      </c>
      <c r="S198" s="467">
        <f t="shared" si="56"/>
        <v>210879.754066667</v>
      </c>
      <c r="T198" s="70">
        <v>304113.82926666603</v>
      </c>
      <c r="U198" s="466">
        <f t="shared" si="58"/>
        <v>304113.82926666603</v>
      </c>
    </row>
    <row r="199" spans="1:21" ht="20.100000000000001" customHeight="1">
      <c r="A199" s="25">
        <v>19</v>
      </c>
      <c r="B199" s="9" t="s">
        <v>333</v>
      </c>
      <c r="C199" s="2" t="s">
        <v>334</v>
      </c>
      <c r="D199" s="13" t="s">
        <v>75</v>
      </c>
      <c r="E199" s="70">
        <v>381140.66666666599</v>
      </c>
      <c r="F199" s="70"/>
      <c r="G199" s="186"/>
      <c r="H199" s="186">
        <f>50000+10000</f>
        <v>60000</v>
      </c>
      <c r="I199" s="70"/>
      <c r="J199" s="466">
        <f t="shared" si="57"/>
        <v>441140.66666666599</v>
      </c>
      <c r="K199" s="70"/>
      <c r="L199" s="70">
        <v>100000</v>
      </c>
      <c r="M199" s="70">
        <f>70000+30000</f>
        <v>100000</v>
      </c>
      <c r="N199" s="70">
        <v>62000</v>
      </c>
      <c r="O199" s="70"/>
      <c r="P199" s="70">
        <v>6021.8645833333203</v>
      </c>
      <c r="Q199" s="70">
        <v>55332.958774999897</v>
      </c>
      <c r="R199" s="70">
        <v>30491.253333333301</v>
      </c>
      <c r="S199" s="467">
        <f t="shared" si="56"/>
        <v>353846.07669166703</v>
      </c>
      <c r="T199" s="70">
        <v>99294.589974999501</v>
      </c>
      <c r="U199" s="466">
        <f t="shared" si="58"/>
        <v>87294.589974999501</v>
      </c>
    </row>
    <row r="200" spans="1:21" ht="20.100000000000001" customHeight="1">
      <c r="A200" s="25">
        <v>20</v>
      </c>
      <c r="B200" s="9" t="s">
        <v>335</v>
      </c>
      <c r="C200" s="2" t="s">
        <v>332</v>
      </c>
      <c r="D200" s="13" t="s">
        <v>131</v>
      </c>
      <c r="E200" s="186">
        <v>454993.58333333302</v>
      </c>
      <c r="F200" s="70"/>
      <c r="G200" s="186"/>
      <c r="H200" s="186">
        <f>110000</f>
        <v>110000</v>
      </c>
      <c r="I200" s="70"/>
      <c r="J200" s="466">
        <f t="shared" si="57"/>
        <v>564993.58333333302</v>
      </c>
      <c r="K200" s="70"/>
      <c r="L200" s="70">
        <f>10000</f>
        <v>10000</v>
      </c>
      <c r="M200" s="70">
        <v>99734.99</v>
      </c>
      <c r="N200" s="70"/>
      <c r="O200" s="70"/>
      <c r="P200" s="70">
        <v>7161.1770833333303</v>
      </c>
      <c r="Q200" s="70">
        <v>76357.925524999897</v>
      </c>
      <c r="R200" s="70">
        <v>36399.486666666598</v>
      </c>
      <c r="S200" s="467">
        <f t="shared" si="56"/>
        <v>229653.579275</v>
      </c>
      <c r="T200" s="70">
        <v>335340.004058333</v>
      </c>
      <c r="U200" s="466">
        <f t="shared" si="58"/>
        <v>335340.004058333</v>
      </c>
    </row>
    <row r="201" spans="1:21" ht="20.100000000000001" customHeight="1">
      <c r="A201" s="25">
        <v>21</v>
      </c>
      <c r="B201" s="9" t="s">
        <v>336</v>
      </c>
      <c r="C201" s="2" t="s">
        <v>337</v>
      </c>
      <c r="D201" s="13" t="s">
        <v>81</v>
      </c>
      <c r="E201" s="70">
        <v>372145.33333333302</v>
      </c>
      <c r="F201" s="70"/>
      <c r="G201" s="186"/>
      <c r="H201" s="186">
        <v>60000</v>
      </c>
      <c r="I201" s="70"/>
      <c r="J201" s="466">
        <f t="shared" si="57"/>
        <v>432145.33333333302</v>
      </c>
      <c r="K201" s="70"/>
      <c r="L201" s="70"/>
      <c r="M201" s="70">
        <v>20000</v>
      </c>
      <c r="N201" s="70"/>
      <c r="O201" s="70"/>
      <c r="P201" s="70"/>
      <c r="Q201" s="70">
        <v>54927.2671999999</v>
      </c>
      <c r="R201" s="70">
        <v>29771.626666666602</v>
      </c>
      <c r="S201" s="467">
        <f t="shared" si="56"/>
        <v>104698.893866667</v>
      </c>
      <c r="T201" s="70">
        <v>327446.43946666701</v>
      </c>
      <c r="U201" s="466">
        <f t="shared" si="58"/>
        <v>327446.43946666701</v>
      </c>
    </row>
    <row r="202" spans="1:21" ht="20.100000000000001" customHeight="1">
      <c r="A202" s="25">
        <v>22</v>
      </c>
      <c r="B202" s="16" t="s">
        <v>338</v>
      </c>
      <c r="C202" s="10" t="s">
        <v>339</v>
      </c>
      <c r="D202" s="13" t="s">
        <v>86</v>
      </c>
      <c r="E202" s="186">
        <v>338711.66666666698</v>
      </c>
      <c r="F202" s="70"/>
      <c r="G202" s="186"/>
      <c r="H202" s="186">
        <f t="shared" ref="H202:H204" si="61">60000</f>
        <v>60000</v>
      </c>
      <c r="I202" s="2"/>
      <c r="J202" s="466">
        <f t="shared" si="57"/>
        <v>398711.66666666698</v>
      </c>
      <c r="K202" s="70"/>
      <c r="L202" s="70">
        <v>30000</v>
      </c>
      <c r="M202" s="70">
        <f>80000</f>
        <v>80000</v>
      </c>
      <c r="N202" s="70">
        <v>20000</v>
      </c>
      <c r="O202" s="70"/>
      <c r="P202" s="70">
        <v>5566.8645833333203</v>
      </c>
      <c r="Q202" s="70">
        <v>48388.616374999998</v>
      </c>
      <c r="R202" s="70">
        <v>27096.9333333334</v>
      </c>
      <c r="S202" s="467">
        <f t="shared" si="56"/>
        <v>211052.414291667</v>
      </c>
      <c r="T202" s="70">
        <v>187659.25237500001</v>
      </c>
      <c r="U202" s="466">
        <f t="shared" si="58"/>
        <v>187659.25237500001</v>
      </c>
    </row>
    <row r="203" spans="1:21" ht="20.100000000000001" customHeight="1">
      <c r="A203" s="25">
        <v>23</v>
      </c>
      <c r="B203" s="16" t="s">
        <v>340</v>
      </c>
      <c r="C203" s="10" t="s">
        <v>339</v>
      </c>
      <c r="D203" s="13" t="s">
        <v>86</v>
      </c>
      <c r="E203" s="186">
        <v>347016.16666666599</v>
      </c>
      <c r="F203" s="70"/>
      <c r="G203" s="186"/>
      <c r="H203" s="186">
        <f t="shared" si="61"/>
        <v>60000</v>
      </c>
      <c r="I203" s="2"/>
      <c r="J203" s="466">
        <f t="shared" si="57"/>
        <v>407016.16666666599</v>
      </c>
      <c r="K203" s="70"/>
      <c r="L203" s="70">
        <v>10000</v>
      </c>
      <c r="M203" s="70">
        <v>86456</v>
      </c>
      <c r="N203" s="70">
        <v>20000</v>
      </c>
      <c r="O203" s="70"/>
      <c r="P203" s="70"/>
      <c r="Q203" s="70">
        <v>50765.877199999901</v>
      </c>
      <c r="R203" s="70">
        <v>27761.293333333299</v>
      </c>
      <c r="S203" s="467">
        <f t="shared" si="56"/>
        <v>194983.170533333</v>
      </c>
      <c r="T203" s="70">
        <v>212032.99613333301</v>
      </c>
      <c r="U203" s="466">
        <f t="shared" si="58"/>
        <v>212032.99613333301</v>
      </c>
    </row>
    <row r="204" spans="1:21" s="1" customFormat="1" ht="18.75" customHeight="1">
      <c r="A204" s="25">
        <v>24</v>
      </c>
      <c r="B204" s="16" t="s">
        <v>341</v>
      </c>
      <c r="C204" s="2" t="s">
        <v>342</v>
      </c>
      <c r="D204" s="8" t="s">
        <v>99</v>
      </c>
      <c r="E204" s="70">
        <v>338711.66666666698</v>
      </c>
      <c r="F204" s="70"/>
      <c r="G204" s="186"/>
      <c r="H204" s="186">
        <f t="shared" si="61"/>
        <v>60000</v>
      </c>
      <c r="I204" s="70"/>
      <c r="J204" s="466">
        <f t="shared" si="57"/>
        <v>398711.66666666698</v>
      </c>
      <c r="K204" s="70"/>
      <c r="L204" s="70"/>
      <c r="M204" s="70"/>
      <c r="N204" s="70">
        <v>100000</v>
      </c>
      <c r="O204" s="70"/>
      <c r="P204" s="70"/>
      <c r="Q204" s="70">
        <v>49390.652000000096</v>
      </c>
      <c r="R204" s="70">
        <v>27096.9333333334</v>
      </c>
      <c r="S204" s="467">
        <f t="shared" si="56"/>
        <v>176487.585333333</v>
      </c>
      <c r="T204" s="70">
        <v>222224.08133333299</v>
      </c>
      <c r="U204" s="466">
        <f t="shared" si="58"/>
        <v>222224.08133333299</v>
      </c>
    </row>
    <row r="205" spans="1:21" s="1" customFormat="1" ht="20.100000000000001" customHeight="1">
      <c r="A205" s="25">
        <v>25</v>
      </c>
      <c r="B205" s="16" t="s">
        <v>343</v>
      </c>
      <c r="C205" s="10" t="s">
        <v>344</v>
      </c>
      <c r="D205" s="8" t="s">
        <v>225</v>
      </c>
      <c r="E205" s="70">
        <v>330408.08333333302</v>
      </c>
      <c r="F205" s="70"/>
      <c r="G205" s="186"/>
      <c r="H205" s="186">
        <v>60000</v>
      </c>
      <c r="I205" s="70"/>
      <c r="J205" s="466">
        <f t="shared" si="57"/>
        <v>390408.08333333302</v>
      </c>
      <c r="K205" s="70"/>
      <c r="L205" s="638"/>
      <c r="M205" s="638"/>
      <c r="N205" s="638">
        <v>50000</v>
      </c>
      <c r="O205" s="2"/>
      <c r="P205" s="2"/>
      <c r="Q205" s="638">
        <v>48015.592999999899</v>
      </c>
      <c r="R205" s="70">
        <v>26432.646666666598</v>
      </c>
      <c r="S205" s="467">
        <f t="shared" si="56"/>
        <v>124448.239666667</v>
      </c>
      <c r="T205" s="70">
        <v>265959.843666667</v>
      </c>
      <c r="U205" s="466">
        <f t="shared" si="58"/>
        <v>265959.843666667</v>
      </c>
    </row>
    <row r="206" spans="1:21" ht="20.100000000000001" customHeight="1">
      <c r="A206" s="25">
        <v>26</v>
      </c>
      <c r="B206" s="16" t="s">
        <v>345</v>
      </c>
      <c r="C206" s="10" t="s">
        <v>346</v>
      </c>
      <c r="D206" s="13" t="s">
        <v>105</v>
      </c>
      <c r="E206" s="70">
        <v>308920.66666666698</v>
      </c>
      <c r="F206" s="70"/>
      <c r="G206" s="186"/>
      <c r="H206" s="186">
        <f t="shared" ref="H206:H212" si="62">50000</f>
        <v>50000</v>
      </c>
      <c r="I206" s="70"/>
      <c r="J206" s="466">
        <f t="shared" si="57"/>
        <v>358920.66666666698</v>
      </c>
      <c r="K206" s="70"/>
      <c r="L206" s="70">
        <f>20000</f>
        <v>20000</v>
      </c>
      <c r="M206" s="70">
        <v>100000</v>
      </c>
      <c r="N206" s="70"/>
      <c r="O206" s="860"/>
      <c r="P206" s="860">
        <v>5013.7354166666801</v>
      </c>
      <c r="Q206" s="70">
        <v>41754.790025000002</v>
      </c>
      <c r="R206" s="70">
        <v>24713.653333333401</v>
      </c>
      <c r="S206" s="467">
        <f t="shared" si="56"/>
        <v>191482.17877500001</v>
      </c>
      <c r="T206" s="70">
        <v>167438.487891667</v>
      </c>
      <c r="U206" s="466">
        <f t="shared" si="58"/>
        <v>167438.487891667</v>
      </c>
    </row>
    <row r="207" spans="1:21" ht="20.100000000000001" customHeight="1">
      <c r="A207" s="25">
        <v>27</v>
      </c>
      <c r="B207" s="16" t="s">
        <v>347</v>
      </c>
      <c r="C207" s="10" t="s">
        <v>348</v>
      </c>
      <c r="D207" s="13" t="s">
        <v>105</v>
      </c>
      <c r="E207" s="70">
        <v>308920.66666666698</v>
      </c>
      <c r="F207" s="70"/>
      <c r="G207" s="186"/>
      <c r="H207" s="186">
        <f t="shared" si="62"/>
        <v>50000</v>
      </c>
      <c r="I207" s="70"/>
      <c r="J207" s="466">
        <f t="shared" si="57"/>
        <v>358920.66666666698</v>
      </c>
      <c r="K207" s="70"/>
      <c r="L207" s="70">
        <f>12000-2000</f>
        <v>10000</v>
      </c>
      <c r="M207" s="70">
        <v>50000</v>
      </c>
      <c r="N207" s="70">
        <v>30000</v>
      </c>
      <c r="O207" s="70">
        <v>57131.25</v>
      </c>
      <c r="P207" s="70">
        <v>5013.7354166666801</v>
      </c>
      <c r="Q207" s="70">
        <v>41754.790025000002</v>
      </c>
      <c r="R207" s="70">
        <v>24713.653333333401</v>
      </c>
      <c r="S207" s="467">
        <f t="shared" si="56"/>
        <v>218613.42877500001</v>
      </c>
      <c r="T207" s="70">
        <v>197438.487891667</v>
      </c>
      <c r="U207" s="466">
        <f t="shared" si="58"/>
        <v>140307.237891667</v>
      </c>
    </row>
    <row r="208" spans="1:21" ht="20.100000000000001" customHeight="1">
      <c r="A208" s="25">
        <v>28</v>
      </c>
      <c r="B208" s="16" t="s">
        <v>349</v>
      </c>
      <c r="C208" s="10" t="s">
        <v>350</v>
      </c>
      <c r="D208" s="13" t="s">
        <v>105</v>
      </c>
      <c r="E208" s="70">
        <v>308920.66666666698</v>
      </c>
      <c r="F208" s="70"/>
      <c r="G208" s="186"/>
      <c r="H208" s="186">
        <f t="shared" si="62"/>
        <v>50000</v>
      </c>
      <c r="I208" s="70"/>
      <c r="J208" s="466">
        <f t="shared" si="57"/>
        <v>358920.66666666698</v>
      </c>
      <c r="K208" s="70"/>
      <c r="L208" s="70">
        <v>40000</v>
      </c>
      <c r="M208" s="70"/>
      <c r="N208" s="70">
        <v>25000</v>
      </c>
      <c r="O208" s="70">
        <v>5142.5</v>
      </c>
      <c r="P208" s="70">
        <v>5013.7354166666801</v>
      </c>
      <c r="Q208" s="70">
        <v>41754.790025000002</v>
      </c>
      <c r="R208" s="70">
        <v>24713.653333333401</v>
      </c>
      <c r="S208" s="467">
        <f t="shared" si="56"/>
        <v>141624.67877500001</v>
      </c>
      <c r="T208" s="70">
        <v>222438.487891667</v>
      </c>
      <c r="U208" s="466">
        <f t="shared" si="58"/>
        <v>217295.987891667</v>
      </c>
    </row>
    <row r="209" spans="1:22" ht="20.100000000000001" customHeight="1">
      <c r="A209" s="25">
        <v>29</v>
      </c>
      <c r="B209" s="16" t="s">
        <v>351</v>
      </c>
      <c r="C209" s="2" t="s">
        <v>88</v>
      </c>
      <c r="D209" s="8" t="s">
        <v>225</v>
      </c>
      <c r="E209" s="70">
        <v>330408.08333333302</v>
      </c>
      <c r="F209" s="70"/>
      <c r="G209" s="186"/>
      <c r="H209" s="186">
        <f>60000</f>
        <v>60000</v>
      </c>
      <c r="I209" s="70"/>
      <c r="J209" s="466">
        <f t="shared" si="57"/>
        <v>390408.08333333302</v>
      </c>
      <c r="K209" s="70"/>
      <c r="L209" s="70">
        <v>40000</v>
      </c>
      <c r="M209" s="70">
        <f>32000</f>
        <v>32000</v>
      </c>
      <c r="N209" s="70">
        <v>10000</v>
      </c>
      <c r="O209" s="70">
        <v>29156.880000000001</v>
      </c>
      <c r="P209" s="70">
        <v>5319.8041666666704</v>
      </c>
      <c r="Q209" s="70">
        <v>47058.013849999901</v>
      </c>
      <c r="R209" s="70">
        <v>26432.646666666598</v>
      </c>
      <c r="S209" s="467">
        <f t="shared" si="56"/>
        <v>189967.34468333301</v>
      </c>
      <c r="T209" s="70">
        <v>219597.61864999999</v>
      </c>
      <c r="U209" s="466">
        <f t="shared" si="58"/>
        <v>200440.73865000001</v>
      </c>
    </row>
    <row r="210" spans="1:22" ht="20.100000000000001" customHeight="1">
      <c r="A210" s="25">
        <v>30</v>
      </c>
      <c r="B210" s="16" t="s">
        <v>352</v>
      </c>
      <c r="C210" s="10" t="s">
        <v>348</v>
      </c>
      <c r="D210" s="13" t="s">
        <v>105</v>
      </c>
      <c r="E210" s="70">
        <v>308920.66666666698</v>
      </c>
      <c r="F210" s="70"/>
      <c r="G210" s="186"/>
      <c r="H210" s="186">
        <f t="shared" si="62"/>
        <v>50000</v>
      </c>
      <c r="I210" s="70"/>
      <c r="J210" s="466">
        <f t="shared" si="57"/>
        <v>358920.66666666698</v>
      </c>
      <c r="K210" s="70"/>
      <c r="L210" s="70">
        <v>30000</v>
      </c>
      <c r="M210" s="70">
        <v>0</v>
      </c>
      <c r="N210" s="70">
        <v>30000</v>
      </c>
      <c r="O210" s="70"/>
      <c r="P210" s="70">
        <v>5013.7354166666801</v>
      </c>
      <c r="Q210" s="70">
        <v>41754.790025000002</v>
      </c>
      <c r="R210" s="70">
        <v>24713.653333333401</v>
      </c>
      <c r="S210" s="467">
        <f t="shared" si="56"/>
        <v>131482.17877500001</v>
      </c>
      <c r="T210" s="70">
        <v>227438.487891667</v>
      </c>
      <c r="U210" s="466">
        <f t="shared" si="58"/>
        <v>227438.487891667</v>
      </c>
    </row>
    <row r="211" spans="1:22" ht="20.100000000000001" customHeight="1">
      <c r="A211" s="25">
        <v>31</v>
      </c>
      <c r="B211" s="16" t="s">
        <v>353</v>
      </c>
      <c r="C211" s="10" t="s">
        <v>354</v>
      </c>
      <c r="D211" s="13" t="s">
        <v>108</v>
      </c>
      <c r="E211" s="630">
        <v>301910.75</v>
      </c>
      <c r="F211" s="70"/>
      <c r="G211" s="186"/>
      <c r="H211" s="186">
        <f t="shared" si="62"/>
        <v>50000</v>
      </c>
      <c r="I211" s="70"/>
      <c r="J211" s="466">
        <f t="shared" si="57"/>
        <v>351910.75</v>
      </c>
      <c r="K211" s="70"/>
      <c r="L211" s="70">
        <v>15000</v>
      </c>
      <c r="M211" s="70"/>
      <c r="N211" s="70"/>
      <c r="O211" s="70"/>
      <c r="P211" s="70"/>
      <c r="Q211" s="638">
        <v>41496.4202</v>
      </c>
      <c r="R211" s="639">
        <v>24152.86</v>
      </c>
      <c r="S211" s="467">
        <f t="shared" si="56"/>
        <v>80649.280199999994</v>
      </c>
      <c r="T211" s="70">
        <v>271261.46980000002</v>
      </c>
      <c r="U211" s="466">
        <f t="shared" si="58"/>
        <v>271261.46980000002</v>
      </c>
    </row>
    <row r="212" spans="1:22" ht="20.100000000000001" customHeight="1">
      <c r="A212" s="25">
        <v>32</v>
      </c>
      <c r="B212" s="16" t="s">
        <v>355</v>
      </c>
      <c r="C212" s="10" t="s">
        <v>354</v>
      </c>
      <c r="D212" s="13" t="s">
        <v>108</v>
      </c>
      <c r="E212" s="630">
        <v>301910.75</v>
      </c>
      <c r="F212" s="70"/>
      <c r="G212" s="186"/>
      <c r="H212" s="186">
        <f t="shared" si="62"/>
        <v>50000</v>
      </c>
      <c r="I212" s="70"/>
      <c r="J212" s="466">
        <f t="shared" si="57"/>
        <v>351910.75</v>
      </c>
      <c r="K212" s="70"/>
      <c r="L212" s="70">
        <v>20000</v>
      </c>
      <c r="M212" s="70">
        <v>40000</v>
      </c>
      <c r="N212" s="70"/>
      <c r="O212" s="70"/>
      <c r="P212" s="70"/>
      <c r="Q212" s="638">
        <v>41496.4202</v>
      </c>
      <c r="R212" s="639">
        <v>24152.86</v>
      </c>
      <c r="S212" s="467">
        <f t="shared" si="56"/>
        <v>125649.28019999999</v>
      </c>
      <c r="T212" s="70">
        <v>226261.46979999999</v>
      </c>
      <c r="U212" s="466">
        <f t="shared" si="58"/>
        <v>226261.46979999999</v>
      </c>
    </row>
    <row r="213" spans="1:22" s="1" customFormat="1" ht="20.100000000000001" customHeight="1">
      <c r="A213" s="25">
        <v>33</v>
      </c>
      <c r="B213" s="16" t="s">
        <v>356</v>
      </c>
      <c r="C213" s="10" t="s">
        <v>344</v>
      </c>
      <c r="D213" s="13" t="s">
        <v>111</v>
      </c>
      <c r="E213" s="70">
        <v>294900.83333333401</v>
      </c>
      <c r="F213" s="70"/>
      <c r="G213" s="186"/>
      <c r="H213" s="186">
        <v>50000</v>
      </c>
      <c r="I213" s="70"/>
      <c r="J213" s="466">
        <f t="shared" si="57"/>
        <v>344900.83333333401</v>
      </c>
      <c r="K213" s="70"/>
      <c r="L213" s="638"/>
      <c r="M213" s="638"/>
      <c r="N213" s="638"/>
      <c r="O213" s="2"/>
      <c r="P213" s="2"/>
      <c r="Q213" s="638">
        <v>40335.578000000103</v>
      </c>
      <c r="R213" s="639">
        <v>23592.066666666698</v>
      </c>
      <c r="S213" s="467">
        <f t="shared" si="56"/>
        <v>63927.644666666798</v>
      </c>
      <c r="T213" s="70">
        <v>280973.18866666697</v>
      </c>
      <c r="U213" s="466">
        <f t="shared" ref="U213:U246" si="63">J213-S213</f>
        <v>280973.18866666697</v>
      </c>
    </row>
    <row r="214" spans="1:22" s="1" customFormat="1" ht="20.100000000000001" customHeight="1">
      <c r="A214" s="25">
        <v>34</v>
      </c>
      <c r="B214" s="16" t="s">
        <v>357</v>
      </c>
      <c r="C214" s="10" t="s">
        <v>344</v>
      </c>
      <c r="D214" s="13" t="s">
        <v>111</v>
      </c>
      <c r="E214" s="70">
        <v>294900.83333333401</v>
      </c>
      <c r="F214" s="70"/>
      <c r="G214" s="186"/>
      <c r="H214" s="186">
        <v>50000</v>
      </c>
      <c r="I214" s="70"/>
      <c r="J214" s="466">
        <f t="shared" si="57"/>
        <v>344900.83333333401</v>
      </c>
      <c r="K214" s="70"/>
      <c r="L214" s="638"/>
      <c r="M214" s="638"/>
      <c r="N214" s="638">
        <v>37000</v>
      </c>
      <c r="O214" s="2"/>
      <c r="P214" s="2"/>
      <c r="Q214" s="638">
        <v>40335.578000000103</v>
      </c>
      <c r="R214" s="639">
        <v>23592.066666666698</v>
      </c>
      <c r="S214" s="467">
        <f t="shared" si="56"/>
        <v>100927.64466666699</v>
      </c>
      <c r="T214" s="70">
        <v>243973.188666667</v>
      </c>
      <c r="U214" s="466">
        <f t="shared" si="63"/>
        <v>243973.188666667</v>
      </c>
    </row>
    <row r="215" spans="1:22" s="1" customFormat="1" ht="20.100000000000001" customHeight="1">
      <c r="A215" s="25">
        <v>35</v>
      </c>
      <c r="B215" s="16" t="s">
        <v>358</v>
      </c>
      <c r="C215" s="10" t="s">
        <v>344</v>
      </c>
      <c r="D215" s="13" t="s">
        <v>111</v>
      </c>
      <c r="E215" s="70">
        <v>294900.83333333401</v>
      </c>
      <c r="F215" s="70"/>
      <c r="G215" s="186"/>
      <c r="H215" s="186">
        <v>50000</v>
      </c>
      <c r="I215" s="70"/>
      <c r="J215" s="466">
        <f t="shared" si="57"/>
        <v>344900.83333333401</v>
      </c>
      <c r="K215" s="70"/>
      <c r="L215" s="638">
        <v>20000</v>
      </c>
      <c r="M215" s="638">
        <v>70000</v>
      </c>
      <c r="N215" s="638"/>
      <c r="O215" s="2"/>
      <c r="P215" s="2"/>
      <c r="Q215" s="638">
        <v>40335.578000000103</v>
      </c>
      <c r="R215" s="639">
        <v>23592.066666666698</v>
      </c>
      <c r="S215" s="467">
        <f t="shared" si="56"/>
        <v>153927.64466666701</v>
      </c>
      <c r="T215" s="70">
        <v>190973.188666667</v>
      </c>
      <c r="U215" s="466">
        <f t="shared" si="63"/>
        <v>190973.188666667</v>
      </c>
    </row>
    <row r="216" spans="1:22" s="1" customFormat="1" ht="20.100000000000001" customHeight="1">
      <c r="A216" s="25">
        <v>36</v>
      </c>
      <c r="B216" s="16" t="s">
        <v>359</v>
      </c>
      <c r="C216" s="10" t="s">
        <v>344</v>
      </c>
      <c r="D216" s="13" t="s">
        <v>277</v>
      </c>
      <c r="E216" s="70">
        <v>287890.91666666698</v>
      </c>
      <c r="F216" s="70"/>
      <c r="G216" s="186"/>
      <c r="H216" s="186">
        <v>50000</v>
      </c>
      <c r="I216" s="70"/>
      <c r="J216" s="466">
        <f t="shared" si="57"/>
        <v>337890.91666666698</v>
      </c>
      <c r="K216" s="70"/>
      <c r="L216" s="638">
        <v>40000</v>
      </c>
      <c r="M216" s="638">
        <v>22361.11</v>
      </c>
      <c r="N216" s="638">
        <v>10000</v>
      </c>
      <c r="O216" s="2">
        <v>23890</v>
      </c>
      <c r="P216" s="2"/>
      <c r="Q216" s="638">
        <v>39174.735800000097</v>
      </c>
      <c r="R216" s="639">
        <v>23031.2733333334</v>
      </c>
      <c r="S216" s="467">
        <f t="shared" si="56"/>
        <v>158457.119133334</v>
      </c>
      <c r="T216" s="70">
        <v>193323.79753333301</v>
      </c>
      <c r="U216" s="466">
        <f t="shared" si="63"/>
        <v>179433.79753333301</v>
      </c>
      <c r="V216" s="11"/>
    </row>
    <row r="217" spans="1:22" s="1" customFormat="1" ht="20.100000000000001" customHeight="1">
      <c r="A217" s="25">
        <v>37</v>
      </c>
      <c r="B217" s="16" t="s">
        <v>360</v>
      </c>
      <c r="C217" s="10" t="s">
        <v>344</v>
      </c>
      <c r="D217" s="13" t="s">
        <v>277</v>
      </c>
      <c r="E217" s="70">
        <v>287890.91666666698</v>
      </c>
      <c r="F217" s="70"/>
      <c r="G217" s="186"/>
      <c r="H217" s="186">
        <v>50000</v>
      </c>
      <c r="I217" s="70"/>
      <c r="J217" s="466">
        <f t="shared" si="57"/>
        <v>337890.91666666698</v>
      </c>
      <c r="K217" s="70"/>
      <c r="L217" s="638">
        <v>0</v>
      </c>
      <c r="M217" s="638">
        <v>0</v>
      </c>
      <c r="N217" s="638">
        <v>30000</v>
      </c>
      <c r="O217" s="2"/>
      <c r="P217" s="2"/>
      <c r="Q217" s="638">
        <v>39174.735800000097</v>
      </c>
      <c r="R217" s="639">
        <v>23031.2733333334</v>
      </c>
      <c r="S217" s="467">
        <f t="shared" si="56"/>
        <v>92206.0091333335</v>
      </c>
      <c r="T217" s="70">
        <v>245684.907533333</v>
      </c>
      <c r="U217" s="466">
        <f t="shared" si="63"/>
        <v>245684.907533333</v>
      </c>
      <c r="V217" s="11"/>
    </row>
    <row r="218" spans="1:22" ht="20.100000000000001" customHeight="1">
      <c r="A218" s="25">
        <v>38</v>
      </c>
      <c r="B218" s="9" t="s">
        <v>361</v>
      </c>
      <c r="C218" s="10" t="s">
        <v>362</v>
      </c>
      <c r="D218" s="13" t="s">
        <v>363</v>
      </c>
      <c r="E218" s="192">
        <v>255667.08333333299</v>
      </c>
      <c r="F218" s="186"/>
      <c r="G218" s="186"/>
      <c r="H218" s="186">
        <f>30000</f>
        <v>30000</v>
      </c>
      <c r="I218" s="70">
        <f>4000</f>
        <v>4000</v>
      </c>
      <c r="J218" s="466">
        <f t="shared" si="57"/>
        <v>289667.08333333302</v>
      </c>
      <c r="K218" s="70"/>
      <c r="L218" s="70">
        <v>60000</v>
      </c>
      <c r="M218" s="70">
        <v>67916.66</v>
      </c>
      <c r="N218" s="70">
        <v>22000</v>
      </c>
      <c r="O218" s="70"/>
      <c r="P218" s="70">
        <v>4252.9562500000002</v>
      </c>
      <c r="Q218" s="70">
        <v>30192.936874999999</v>
      </c>
      <c r="R218" s="70">
        <v>20453.366666666701</v>
      </c>
      <c r="S218" s="467">
        <f t="shared" si="56"/>
        <v>204815.91979166699</v>
      </c>
      <c r="T218" s="70">
        <v>84851.163541665999</v>
      </c>
      <c r="U218" s="466">
        <f t="shared" si="63"/>
        <v>84851.163541666305</v>
      </c>
    </row>
    <row r="219" spans="1:22" ht="20.100000000000001" customHeight="1">
      <c r="A219" s="25">
        <v>39</v>
      </c>
      <c r="B219" s="9" t="s">
        <v>364</v>
      </c>
      <c r="C219" s="10" t="s">
        <v>362</v>
      </c>
      <c r="D219" s="13" t="s">
        <v>363</v>
      </c>
      <c r="E219" s="192">
        <v>255667.08333333299</v>
      </c>
      <c r="F219" s="186"/>
      <c r="G219" s="186"/>
      <c r="H219" s="186">
        <f>30000</f>
        <v>30000</v>
      </c>
      <c r="I219" s="70">
        <f>7000</f>
        <v>7000</v>
      </c>
      <c r="J219" s="466">
        <f t="shared" si="57"/>
        <v>292667.08333333302</v>
      </c>
      <c r="K219" s="70"/>
      <c r="L219" s="70">
        <v>40000</v>
      </c>
      <c r="M219" s="70">
        <f>14524.11</f>
        <v>14524.11</v>
      </c>
      <c r="N219" s="70">
        <v>20000</v>
      </c>
      <c r="O219" s="70">
        <v>10285</v>
      </c>
      <c r="P219" s="70"/>
      <c r="Q219" s="70">
        <v>31498.469000000001</v>
      </c>
      <c r="R219" s="70">
        <v>20453.366666666701</v>
      </c>
      <c r="S219" s="467">
        <f t="shared" si="56"/>
        <v>136760.94566666699</v>
      </c>
      <c r="T219" s="70">
        <v>166191.13766666601</v>
      </c>
      <c r="U219" s="466">
        <f t="shared" si="63"/>
        <v>155906.13766666601</v>
      </c>
    </row>
    <row r="220" spans="1:22" ht="20.100000000000001" customHeight="1">
      <c r="A220" s="25">
        <v>40</v>
      </c>
      <c r="B220" s="9" t="s">
        <v>365</v>
      </c>
      <c r="C220" s="10" t="s">
        <v>362</v>
      </c>
      <c r="D220" s="13" t="s">
        <v>363</v>
      </c>
      <c r="E220" s="192">
        <v>255667.08333333299</v>
      </c>
      <c r="F220" s="186"/>
      <c r="G220" s="186"/>
      <c r="H220" s="186">
        <f>30000</f>
        <v>30000</v>
      </c>
      <c r="I220" s="70">
        <f>4000</f>
        <v>4000</v>
      </c>
      <c r="J220" s="466">
        <f t="shared" si="57"/>
        <v>289667.08333333302</v>
      </c>
      <c r="K220" s="70"/>
      <c r="L220" s="70">
        <v>35000</v>
      </c>
      <c r="M220" s="70">
        <v>74038.17</v>
      </c>
      <c r="N220" s="70">
        <v>17000</v>
      </c>
      <c r="O220" s="70">
        <v>42596.13</v>
      </c>
      <c r="P220" s="70">
        <v>4252.9562500000002</v>
      </c>
      <c r="Q220" s="70">
        <v>30192.936874999999</v>
      </c>
      <c r="R220" s="70">
        <v>20453.366666666701</v>
      </c>
      <c r="S220" s="467">
        <f t="shared" si="56"/>
        <v>223533.55979166701</v>
      </c>
      <c r="T220" s="70">
        <v>115729.653541666</v>
      </c>
      <c r="U220" s="466">
        <f t="shared" si="63"/>
        <v>66133.523541666305</v>
      </c>
    </row>
    <row r="221" spans="1:22" ht="20.100000000000001" customHeight="1">
      <c r="A221" s="25">
        <v>41</v>
      </c>
      <c r="B221" s="9" t="s">
        <v>366</v>
      </c>
      <c r="C221" s="10" t="s">
        <v>362</v>
      </c>
      <c r="D221" s="13" t="s">
        <v>363</v>
      </c>
      <c r="E221" s="192">
        <v>255667.08333333299</v>
      </c>
      <c r="F221" s="186"/>
      <c r="G221" s="186"/>
      <c r="H221" s="186">
        <f>30000</f>
        <v>30000</v>
      </c>
      <c r="I221" s="70">
        <f>4000</f>
        <v>4000</v>
      </c>
      <c r="J221" s="466">
        <f t="shared" si="57"/>
        <v>289667.08333333302</v>
      </c>
      <c r="K221" s="70"/>
      <c r="L221" s="70">
        <v>40000</v>
      </c>
      <c r="M221" s="70">
        <f>53445.82</f>
        <v>53445.82</v>
      </c>
      <c r="N221" s="70">
        <v>10000</v>
      </c>
      <c r="O221" s="70">
        <v>27658.13</v>
      </c>
      <c r="P221" s="70"/>
      <c r="Q221" s="70">
        <v>30958.469000000001</v>
      </c>
      <c r="R221" s="70">
        <v>20453.366666666701</v>
      </c>
      <c r="S221" s="467">
        <f t="shared" si="56"/>
        <v>182515.78566666701</v>
      </c>
      <c r="T221" s="70">
        <v>134809.42766666599</v>
      </c>
      <c r="U221" s="466">
        <f t="shared" si="63"/>
        <v>107151.297666666</v>
      </c>
    </row>
    <row r="222" spans="1:22" ht="20.100000000000001" customHeight="1">
      <c r="A222" s="25">
        <v>42</v>
      </c>
      <c r="B222" s="9" t="s">
        <v>367</v>
      </c>
      <c r="C222" s="10" t="s">
        <v>362</v>
      </c>
      <c r="D222" s="13" t="s">
        <v>368</v>
      </c>
      <c r="E222" s="192">
        <v>249683.75</v>
      </c>
      <c r="F222" s="186"/>
      <c r="G222" s="186"/>
      <c r="H222" s="186">
        <f>20000+10000</f>
        <v>30000</v>
      </c>
      <c r="I222" s="70">
        <f>7000</f>
        <v>7000</v>
      </c>
      <c r="J222" s="466">
        <f t="shared" ref="J222:J228" si="64">E222+F222+G222+H222+I222</f>
        <v>286683.75</v>
      </c>
      <c r="K222" s="70"/>
      <c r="L222" s="70">
        <v>50000</v>
      </c>
      <c r="M222" s="70">
        <f>26430.62</f>
        <v>26430.62</v>
      </c>
      <c r="N222" s="70">
        <v>10000</v>
      </c>
      <c r="O222" s="70">
        <v>24942.5</v>
      </c>
      <c r="P222" s="70"/>
      <c r="Q222" s="70">
        <v>30507.629000000001</v>
      </c>
      <c r="R222" s="70">
        <v>19974.7</v>
      </c>
      <c r="S222" s="467">
        <f t="shared" si="56"/>
        <v>161855.44899999999</v>
      </c>
      <c r="T222" s="70">
        <v>149770.80100000001</v>
      </c>
      <c r="U222" s="466">
        <f t="shared" si="63"/>
        <v>124828.30100000001</v>
      </c>
    </row>
    <row r="223" spans="1:22" ht="20.100000000000001" customHeight="1">
      <c r="A223" s="25">
        <v>43</v>
      </c>
      <c r="B223" s="9" t="s">
        <v>369</v>
      </c>
      <c r="C223" s="10" t="s">
        <v>362</v>
      </c>
      <c r="D223" s="13" t="s">
        <v>368</v>
      </c>
      <c r="E223" s="192">
        <v>249683.75</v>
      </c>
      <c r="F223" s="186"/>
      <c r="G223" s="186"/>
      <c r="H223" s="186">
        <f>20000+10000</f>
        <v>30000</v>
      </c>
      <c r="I223" s="70">
        <f>4000</f>
        <v>4000</v>
      </c>
      <c r="J223" s="466">
        <f t="shared" si="64"/>
        <v>283683.75</v>
      </c>
      <c r="K223" s="70"/>
      <c r="L223" s="70">
        <v>50000</v>
      </c>
      <c r="M223" s="70">
        <v>49722.23</v>
      </c>
      <c r="N223" s="70">
        <v>20000</v>
      </c>
      <c r="O223" s="70">
        <v>41208.75</v>
      </c>
      <c r="P223" s="70"/>
      <c r="Q223" s="70">
        <v>29967.629000000001</v>
      </c>
      <c r="R223" s="70">
        <v>19974.7</v>
      </c>
      <c r="S223" s="467">
        <f t="shared" si="56"/>
        <v>210873.30900000001</v>
      </c>
      <c r="T223" s="70">
        <v>114019.19100000001</v>
      </c>
      <c r="U223" s="466">
        <f t="shared" si="63"/>
        <v>72810.441000000006</v>
      </c>
    </row>
    <row r="224" spans="1:22" ht="20.100000000000001" customHeight="1">
      <c r="A224" s="25">
        <v>44</v>
      </c>
      <c r="B224" s="12" t="s">
        <v>370</v>
      </c>
      <c r="C224" s="10" t="s">
        <v>362</v>
      </c>
      <c r="D224" s="13" t="s">
        <v>368</v>
      </c>
      <c r="E224" s="192">
        <v>249683.75</v>
      </c>
      <c r="F224" s="186"/>
      <c r="G224" s="186"/>
      <c r="H224" s="186">
        <f>20000+10000</f>
        <v>30000</v>
      </c>
      <c r="I224" s="70">
        <f>7000</f>
        <v>7000</v>
      </c>
      <c r="J224" s="466">
        <f t="shared" si="64"/>
        <v>286683.75</v>
      </c>
      <c r="K224" s="70"/>
      <c r="L224" s="70">
        <v>40000</v>
      </c>
      <c r="M224" s="70">
        <f>31719.9</f>
        <v>31719.9</v>
      </c>
      <c r="N224" s="70"/>
      <c r="O224" s="70"/>
      <c r="P224" s="70"/>
      <c r="Q224" s="70">
        <v>30507.629000000001</v>
      </c>
      <c r="R224" s="70">
        <v>19974.7</v>
      </c>
      <c r="S224" s="467">
        <f t="shared" si="56"/>
        <v>122202.22900000001</v>
      </c>
      <c r="T224" s="70">
        <v>164481.52100000001</v>
      </c>
      <c r="U224" s="466">
        <f t="shared" si="63"/>
        <v>164481.52100000001</v>
      </c>
    </row>
    <row r="225" spans="1:21" ht="20.100000000000001" customHeight="1">
      <c r="A225" s="25">
        <v>45</v>
      </c>
      <c r="B225" s="9" t="s">
        <v>371</v>
      </c>
      <c r="C225" s="10" t="s">
        <v>362</v>
      </c>
      <c r="D225" s="13" t="s">
        <v>368</v>
      </c>
      <c r="E225" s="192">
        <v>249683.75</v>
      </c>
      <c r="F225" s="186"/>
      <c r="G225" s="186"/>
      <c r="H225" s="186">
        <f>20000+10000</f>
        <v>30000</v>
      </c>
      <c r="I225" s="70">
        <f>4000</f>
        <v>4000</v>
      </c>
      <c r="J225" s="466">
        <f t="shared" si="64"/>
        <v>283683.75</v>
      </c>
      <c r="K225" s="70"/>
      <c r="L225" s="70">
        <v>40000</v>
      </c>
      <c r="M225" s="70">
        <f>13750</f>
        <v>13750</v>
      </c>
      <c r="N225" s="70">
        <v>17000</v>
      </c>
      <c r="O225" s="70"/>
      <c r="P225" s="70"/>
      <c r="Q225" s="70">
        <v>29967.629000000001</v>
      </c>
      <c r="R225" s="70">
        <v>19974.7</v>
      </c>
      <c r="S225" s="467">
        <f t="shared" si="56"/>
        <v>120692.329</v>
      </c>
      <c r="T225" s="70">
        <v>162991.421</v>
      </c>
      <c r="U225" s="466">
        <f t="shared" si="63"/>
        <v>162991.421</v>
      </c>
    </row>
    <row r="226" spans="1:21" ht="20.100000000000001" customHeight="1">
      <c r="A226" s="25">
        <v>46</v>
      </c>
      <c r="B226" s="16" t="s">
        <v>372</v>
      </c>
      <c r="C226" s="10" t="s">
        <v>362</v>
      </c>
      <c r="D226" s="13" t="s">
        <v>368</v>
      </c>
      <c r="E226" s="192">
        <v>249683.75</v>
      </c>
      <c r="F226" s="186"/>
      <c r="G226" s="186"/>
      <c r="H226" s="186">
        <f>20000+10000</f>
        <v>30000</v>
      </c>
      <c r="I226" s="70">
        <f>4000</f>
        <v>4000</v>
      </c>
      <c r="J226" s="466">
        <f t="shared" si="64"/>
        <v>283683.75</v>
      </c>
      <c r="K226" s="70"/>
      <c r="L226" s="70">
        <v>40000</v>
      </c>
      <c r="M226" s="70">
        <f>25708.34</f>
        <v>25708.34</v>
      </c>
      <c r="N226" s="70">
        <v>10000</v>
      </c>
      <c r="O226" s="70">
        <v>31508.13</v>
      </c>
      <c r="P226" s="70"/>
      <c r="Q226" s="70">
        <v>29967.629000000001</v>
      </c>
      <c r="R226" s="70">
        <v>19974.7</v>
      </c>
      <c r="S226" s="467">
        <f t="shared" si="56"/>
        <v>157158.799</v>
      </c>
      <c r="T226" s="70">
        <v>158033.08100000001</v>
      </c>
      <c r="U226" s="466">
        <f t="shared" si="63"/>
        <v>126524.951</v>
      </c>
    </row>
    <row r="227" spans="1:21" ht="20.100000000000001" customHeight="1">
      <c r="A227" s="25">
        <v>47</v>
      </c>
      <c r="B227" s="9" t="s">
        <v>373</v>
      </c>
      <c r="C227" s="10" t="s">
        <v>362</v>
      </c>
      <c r="D227" s="13" t="s">
        <v>374</v>
      </c>
      <c r="E227" s="70">
        <v>237717.16666666701</v>
      </c>
      <c r="F227" s="186"/>
      <c r="G227" s="186"/>
      <c r="H227" s="186">
        <f>30000</f>
        <v>30000</v>
      </c>
      <c r="I227" s="70">
        <f t="shared" ref="I227:I233" si="65">7000</f>
        <v>7000</v>
      </c>
      <c r="J227" s="466">
        <f t="shared" si="64"/>
        <v>274717.16666666698</v>
      </c>
      <c r="K227" s="70"/>
      <c r="L227" s="70">
        <v>40000</v>
      </c>
      <c r="M227" s="70">
        <v>28524.31</v>
      </c>
      <c r="N227" s="70"/>
      <c r="O227" s="70"/>
      <c r="P227" s="70"/>
      <c r="Q227" s="70">
        <v>28525.962800000001</v>
      </c>
      <c r="R227" s="70">
        <v>19017.3733333333</v>
      </c>
      <c r="S227" s="467">
        <f t="shared" si="56"/>
        <v>116067.64613333299</v>
      </c>
      <c r="T227" s="70">
        <v>158649.520533334</v>
      </c>
      <c r="U227" s="466">
        <f t="shared" si="63"/>
        <v>158649.520533334</v>
      </c>
    </row>
    <row r="228" spans="1:21" ht="20.100000000000001" customHeight="1">
      <c r="A228" s="25">
        <v>48</v>
      </c>
      <c r="B228" s="9" t="s">
        <v>375</v>
      </c>
      <c r="C228" s="10" t="s">
        <v>362</v>
      </c>
      <c r="D228" s="13" t="s">
        <v>374</v>
      </c>
      <c r="E228" s="70">
        <v>237717.16666666701</v>
      </c>
      <c r="F228" s="186"/>
      <c r="G228" s="186"/>
      <c r="H228" s="186">
        <f>30000</f>
        <v>30000</v>
      </c>
      <c r="I228" s="70">
        <f t="shared" si="65"/>
        <v>7000</v>
      </c>
      <c r="J228" s="466">
        <f t="shared" si="64"/>
        <v>274717.16666666698</v>
      </c>
      <c r="K228" s="70"/>
      <c r="L228" s="70">
        <v>40000</v>
      </c>
      <c r="M228" s="70">
        <v>43885.11</v>
      </c>
      <c r="N228" s="70"/>
      <c r="O228" s="70"/>
      <c r="P228" s="70"/>
      <c r="Q228" s="70">
        <v>28525.962800000001</v>
      </c>
      <c r="R228" s="70">
        <v>19017.3733333333</v>
      </c>
      <c r="S228" s="467">
        <f t="shared" si="56"/>
        <v>131428.446133333</v>
      </c>
      <c r="T228" s="70">
        <v>143288.72053333401</v>
      </c>
      <c r="U228" s="466">
        <f t="shared" si="63"/>
        <v>143288.72053333401</v>
      </c>
    </row>
    <row r="229" spans="1:21" ht="20.100000000000001" customHeight="1">
      <c r="A229" s="25">
        <v>49</v>
      </c>
      <c r="B229" s="16" t="s">
        <v>376</v>
      </c>
      <c r="C229" s="10" t="s">
        <v>362</v>
      </c>
      <c r="D229" s="13" t="s">
        <v>377</v>
      </c>
      <c r="E229" s="70">
        <v>243700.41666666701</v>
      </c>
      <c r="F229" s="186"/>
      <c r="G229" s="186"/>
      <c r="H229" s="186">
        <f>30000</f>
        <v>30000</v>
      </c>
      <c r="I229" s="70">
        <f t="shared" si="65"/>
        <v>7000</v>
      </c>
      <c r="J229" s="466">
        <f t="shared" ref="J229:J236" si="66">E229+F229+G229+H229+I229</f>
        <v>280700.41666666698</v>
      </c>
      <c r="K229" s="70"/>
      <c r="L229" s="70">
        <v>33000</v>
      </c>
      <c r="M229" s="70">
        <f>44000</f>
        <v>44000</v>
      </c>
      <c r="N229" s="70"/>
      <c r="O229" s="70"/>
      <c r="P229" s="70"/>
      <c r="Q229" s="70">
        <v>29516.789000000001</v>
      </c>
      <c r="R229" s="70">
        <v>19496.0333333333</v>
      </c>
      <c r="S229" s="467">
        <f t="shared" si="56"/>
        <v>126012.822333333</v>
      </c>
      <c r="T229" s="70">
        <v>154687.59433333401</v>
      </c>
      <c r="U229" s="466">
        <f t="shared" si="63"/>
        <v>154687.59433333401</v>
      </c>
    </row>
    <row r="230" spans="1:21" ht="20.100000000000001" customHeight="1">
      <c r="A230" s="25">
        <v>50</v>
      </c>
      <c r="B230" s="9" t="s">
        <v>378</v>
      </c>
      <c r="C230" s="10" t="s">
        <v>362</v>
      </c>
      <c r="D230" s="13" t="s">
        <v>379</v>
      </c>
      <c r="E230" s="70">
        <v>225750.58333333299</v>
      </c>
      <c r="F230" s="186"/>
      <c r="G230" s="186"/>
      <c r="H230" s="186">
        <f t="shared" ref="H230:H237" si="67">30000</f>
        <v>30000</v>
      </c>
      <c r="I230" s="70">
        <f t="shared" si="65"/>
        <v>7000</v>
      </c>
      <c r="J230" s="466">
        <f t="shared" si="66"/>
        <v>262750.58333333302</v>
      </c>
      <c r="K230" s="70"/>
      <c r="L230" s="70">
        <v>80000</v>
      </c>
      <c r="M230" s="70">
        <v>40000</v>
      </c>
      <c r="N230" s="70">
        <v>15000</v>
      </c>
      <c r="O230" s="70"/>
      <c r="P230" s="70"/>
      <c r="Q230" s="70">
        <v>25203.5805</v>
      </c>
      <c r="R230" s="70">
        <v>18060.0466666666</v>
      </c>
      <c r="S230" s="467">
        <f t="shared" si="56"/>
        <v>178263.62716666699</v>
      </c>
      <c r="T230" s="70">
        <v>74486.956166666394</v>
      </c>
      <c r="U230" s="466">
        <f t="shared" si="63"/>
        <v>84486.956166666394</v>
      </c>
    </row>
    <row r="231" spans="1:21" ht="20.100000000000001" customHeight="1">
      <c r="A231" s="25">
        <v>51</v>
      </c>
      <c r="B231" s="9" t="s">
        <v>380</v>
      </c>
      <c r="C231" s="10" t="s">
        <v>362</v>
      </c>
      <c r="D231" s="13" t="s">
        <v>379</v>
      </c>
      <c r="E231" s="70">
        <v>225750.58333333299</v>
      </c>
      <c r="F231" s="186"/>
      <c r="G231" s="186"/>
      <c r="H231" s="186">
        <f t="shared" si="67"/>
        <v>30000</v>
      </c>
      <c r="I231" s="70">
        <f t="shared" si="65"/>
        <v>7000</v>
      </c>
      <c r="J231" s="466">
        <f t="shared" si="66"/>
        <v>262750.58333333302</v>
      </c>
      <c r="K231" s="70"/>
      <c r="L231" s="70">
        <v>35000</v>
      </c>
      <c r="M231" s="70">
        <v>33000</v>
      </c>
      <c r="N231" s="70">
        <v>20000</v>
      </c>
      <c r="P231" s="70"/>
      <c r="Q231" s="70">
        <v>25203.5805</v>
      </c>
      <c r="R231" s="70">
        <v>18060.0466666666</v>
      </c>
      <c r="S231" s="467">
        <f t="shared" si="56"/>
        <v>131263.62716666699</v>
      </c>
      <c r="T231" s="70">
        <v>121486.956166666</v>
      </c>
      <c r="U231" s="466">
        <f t="shared" si="63"/>
        <v>131486.956166666</v>
      </c>
    </row>
    <row r="232" spans="1:21" ht="20.100000000000001" customHeight="1">
      <c r="A232" s="25">
        <v>52</v>
      </c>
      <c r="B232" s="9" t="s">
        <v>381</v>
      </c>
      <c r="C232" s="10" t="s">
        <v>362</v>
      </c>
      <c r="D232" s="13" t="s">
        <v>379</v>
      </c>
      <c r="E232" s="70">
        <v>225750.58333333299</v>
      </c>
      <c r="F232" s="186"/>
      <c r="G232" s="186"/>
      <c r="H232" s="186">
        <f t="shared" si="67"/>
        <v>30000</v>
      </c>
      <c r="I232" s="70">
        <f t="shared" si="65"/>
        <v>7000</v>
      </c>
      <c r="J232" s="466">
        <f t="shared" si="66"/>
        <v>262750.58333333302</v>
      </c>
      <c r="K232" s="70"/>
      <c r="L232" s="70">
        <v>50000</v>
      </c>
      <c r="M232" s="70">
        <f>25555.56</f>
        <v>25555.56</v>
      </c>
      <c r="N232" s="70"/>
      <c r="O232" s="70"/>
      <c r="P232" s="70"/>
      <c r="Q232" s="70">
        <v>25203.5805</v>
      </c>
      <c r="R232" s="70">
        <v>18060.0466666666</v>
      </c>
      <c r="S232" s="467">
        <f t="shared" si="56"/>
        <v>118819.187166667</v>
      </c>
      <c r="T232" s="70">
        <v>133931.396166666</v>
      </c>
      <c r="U232" s="466">
        <f t="shared" si="63"/>
        <v>143931.396166666</v>
      </c>
    </row>
    <row r="233" spans="1:21" ht="20.100000000000001" customHeight="1">
      <c r="A233" s="25">
        <v>53</v>
      </c>
      <c r="B233" s="9" t="s">
        <v>382</v>
      </c>
      <c r="C233" s="10" t="s">
        <v>362</v>
      </c>
      <c r="D233" s="13" t="s">
        <v>379</v>
      </c>
      <c r="E233" s="70">
        <v>225750.58333333299</v>
      </c>
      <c r="F233" s="186"/>
      <c r="G233" s="186"/>
      <c r="H233" s="186">
        <f t="shared" si="67"/>
        <v>30000</v>
      </c>
      <c r="I233" s="70">
        <f t="shared" si="65"/>
        <v>7000</v>
      </c>
      <c r="J233" s="466">
        <f t="shared" si="66"/>
        <v>262750.58333333302</v>
      </c>
      <c r="K233" s="70"/>
      <c r="L233" s="70">
        <v>35000</v>
      </c>
      <c r="M233" s="70">
        <f>15972.22</f>
        <v>15972.22</v>
      </c>
      <c r="N233" s="70">
        <v>12000</v>
      </c>
      <c r="O233" s="70">
        <v>19717.5</v>
      </c>
      <c r="P233" s="70"/>
      <c r="Q233" s="70">
        <v>25203.5805</v>
      </c>
      <c r="R233" s="70">
        <v>18060.0466666666</v>
      </c>
      <c r="S233" s="467">
        <f t="shared" si="56"/>
        <v>125953.34716666699</v>
      </c>
      <c r="T233" s="70">
        <v>158514.736166666</v>
      </c>
      <c r="U233" s="466">
        <f t="shared" si="63"/>
        <v>136797.236166666</v>
      </c>
    </row>
    <row r="234" spans="1:21" ht="20.100000000000001" customHeight="1">
      <c r="A234" s="25">
        <v>54</v>
      </c>
      <c r="B234" s="9" t="s">
        <v>383</v>
      </c>
      <c r="C234" s="10" t="s">
        <v>362</v>
      </c>
      <c r="D234" s="13" t="s">
        <v>379</v>
      </c>
      <c r="E234" s="70">
        <v>225750.58333333299</v>
      </c>
      <c r="F234" s="186"/>
      <c r="G234" s="186"/>
      <c r="H234" s="186">
        <f t="shared" si="67"/>
        <v>30000</v>
      </c>
      <c r="I234" s="70">
        <f t="shared" ref="I234:I238" si="68">7000</f>
        <v>7000</v>
      </c>
      <c r="J234" s="466">
        <f t="shared" si="66"/>
        <v>262750.58333333302</v>
      </c>
      <c r="K234" s="70"/>
      <c r="L234" s="70">
        <v>40000</v>
      </c>
      <c r="M234" s="70">
        <v>17999.669999999998</v>
      </c>
      <c r="N234" s="70">
        <v>22000</v>
      </c>
      <c r="O234" s="70">
        <v>34732.5</v>
      </c>
      <c r="P234" s="70"/>
      <c r="Q234" s="70">
        <v>25203.5805</v>
      </c>
      <c r="R234" s="70">
        <v>18060.0466666666</v>
      </c>
      <c r="S234" s="467">
        <f t="shared" si="56"/>
        <v>157995.79716666701</v>
      </c>
      <c r="T234" s="70">
        <v>151487.28616666599</v>
      </c>
      <c r="U234" s="466">
        <f t="shared" si="63"/>
        <v>104754.786166666</v>
      </c>
    </row>
    <row r="235" spans="1:21" ht="20.100000000000001" customHeight="1">
      <c r="A235" s="25">
        <v>55</v>
      </c>
      <c r="B235" s="9" t="s">
        <v>384</v>
      </c>
      <c r="C235" s="10" t="s">
        <v>362</v>
      </c>
      <c r="D235" s="13" t="s">
        <v>379</v>
      </c>
      <c r="E235" s="70">
        <v>225750.58333333299</v>
      </c>
      <c r="F235" s="186"/>
      <c r="G235" s="186"/>
      <c r="H235" s="186">
        <f t="shared" si="67"/>
        <v>30000</v>
      </c>
      <c r="I235" s="70">
        <f t="shared" si="68"/>
        <v>7000</v>
      </c>
      <c r="J235" s="466">
        <f t="shared" si="66"/>
        <v>262750.58333333302</v>
      </c>
      <c r="K235" s="70"/>
      <c r="L235" s="70">
        <v>40000</v>
      </c>
      <c r="M235" s="70">
        <v>40000</v>
      </c>
      <c r="N235" s="70">
        <v>10000</v>
      </c>
      <c r="O235" s="70"/>
      <c r="P235" s="70"/>
      <c r="Q235" s="70">
        <v>25203.5805</v>
      </c>
      <c r="R235" s="70">
        <v>18060.0466666666</v>
      </c>
      <c r="S235" s="467">
        <f t="shared" si="56"/>
        <v>133263.62716666699</v>
      </c>
      <c r="T235" s="70">
        <v>119486.956166666</v>
      </c>
      <c r="U235" s="466">
        <f t="shared" si="63"/>
        <v>129486.956166666</v>
      </c>
    </row>
    <row r="236" spans="1:21" ht="20.100000000000001" customHeight="1">
      <c r="A236" s="25">
        <v>56</v>
      </c>
      <c r="B236" s="16" t="s">
        <v>385</v>
      </c>
      <c r="C236" s="10" t="s">
        <v>362</v>
      </c>
      <c r="D236" s="13" t="s">
        <v>386</v>
      </c>
      <c r="E236" s="70">
        <v>231733.83333333401</v>
      </c>
      <c r="F236" s="186"/>
      <c r="G236" s="186"/>
      <c r="H236" s="186">
        <f t="shared" si="67"/>
        <v>30000</v>
      </c>
      <c r="I236" s="70">
        <f t="shared" si="68"/>
        <v>7000</v>
      </c>
      <c r="J236" s="466">
        <f t="shared" si="66"/>
        <v>268733.83333333401</v>
      </c>
      <c r="K236" s="70"/>
      <c r="L236" s="70">
        <v>35000</v>
      </c>
      <c r="M236" s="70">
        <v>0</v>
      </c>
      <c r="N236" s="70"/>
      <c r="O236" s="70"/>
      <c r="P236" s="70"/>
      <c r="Q236" s="70">
        <v>26029.269000000098</v>
      </c>
      <c r="R236" s="70">
        <v>18538.706666666701</v>
      </c>
      <c r="S236" s="467">
        <f t="shared" si="56"/>
        <v>79567.975666666796</v>
      </c>
      <c r="T236" s="70">
        <v>179165.857666667</v>
      </c>
      <c r="U236" s="466">
        <f t="shared" si="63"/>
        <v>189165.857666667</v>
      </c>
    </row>
    <row r="237" spans="1:21" ht="20.100000000000001" customHeight="1">
      <c r="A237" s="25">
        <v>57</v>
      </c>
      <c r="B237" s="16" t="s">
        <v>387</v>
      </c>
      <c r="C237" s="10" t="s">
        <v>362</v>
      </c>
      <c r="D237" s="13" t="s">
        <v>379</v>
      </c>
      <c r="E237" s="70">
        <v>225750.58333333299</v>
      </c>
      <c r="F237" s="186">
        <v>239473.704301074</v>
      </c>
      <c r="G237" s="186"/>
      <c r="H237" s="186">
        <f t="shared" si="67"/>
        <v>30000</v>
      </c>
      <c r="I237" s="70">
        <f t="shared" si="68"/>
        <v>7000</v>
      </c>
      <c r="J237" s="466">
        <f t="shared" ref="J237:J246" si="69">E237+F237+G237+H237+I237</f>
        <v>502224.287634407</v>
      </c>
      <c r="K237" s="70"/>
      <c r="L237" s="70">
        <v>60000</v>
      </c>
      <c r="M237" s="70">
        <f>0</f>
        <v>0</v>
      </c>
      <c r="N237" s="70"/>
      <c r="O237" s="70"/>
      <c r="P237" s="70"/>
      <c r="Q237" s="70">
        <v>70751.636174193307</v>
      </c>
      <c r="R237" s="70">
        <v>18060.0466666666</v>
      </c>
      <c r="S237" s="467">
        <f t="shared" si="56"/>
        <v>148811.68284086001</v>
      </c>
      <c r="T237" s="70">
        <v>109638.28049999999</v>
      </c>
      <c r="U237" s="466">
        <f t="shared" si="63"/>
        <v>353412.60479354701</v>
      </c>
    </row>
    <row r="238" spans="1:21" ht="20.100000000000001" customHeight="1">
      <c r="A238" s="25">
        <v>58</v>
      </c>
      <c r="B238" s="9" t="s">
        <v>388</v>
      </c>
      <c r="C238" s="10" t="s">
        <v>389</v>
      </c>
      <c r="D238" s="13" t="s">
        <v>390</v>
      </c>
      <c r="E238" s="70">
        <v>149217.75</v>
      </c>
      <c r="F238" s="186"/>
      <c r="G238" s="186"/>
      <c r="H238" s="186">
        <v>20000</v>
      </c>
      <c r="I238" s="70">
        <f t="shared" si="68"/>
        <v>7000</v>
      </c>
      <c r="J238" s="466">
        <f t="shared" si="69"/>
        <v>176217.75</v>
      </c>
      <c r="K238" s="70"/>
      <c r="L238" s="70">
        <v>50000</v>
      </c>
      <c r="M238" s="70">
        <f>44555.39-10000</f>
        <v>34555.39</v>
      </c>
      <c r="N238" s="70">
        <v>10000</v>
      </c>
      <c r="O238" s="70">
        <v>19717.5</v>
      </c>
      <c r="P238" s="70"/>
      <c r="Q238" s="70">
        <v>14642.049499999999</v>
      </c>
      <c r="R238" s="70">
        <v>11937.42</v>
      </c>
      <c r="S238" s="467">
        <f t="shared" si="56"/>
        <v>140852.35949999999</v>
      </c>
      <c r="T238" s="70">
        <v>55082.890500000001</v>
      </c>
      <c r="U238" s="466">
        <f t="shared" si="63"/>
        <v>35365.390500000001</v>
      </c>
    </row>
    <row r="239" spans="1:21" ht="20.100000000000001" customHeight="1">
      <c r="A239" s="25">
        <v>59</v>
      </c>
      <c r="B239" s="16" t="s">
        <v>391</v>
      </c>
      <c r="C239" s="10" t="s">
        <v>392</v>
      </c>
      <c r="D239" s="13" t="s">
        <v>393</v>
      </c>
      <c r="E239" s="70">
        <v>140634.66666666701</v>
      </c>
      <c r="F239" s="186"/>
      <c r="G239" s="186"/>
      <c r="H239" s="186">
        <v>20000</v>
      </c>
      <c r="I239" s="70">
        <v>7000</v>
      </c>
      <c r="J239" s="466">
        <f t="shared" si="69"/>
        <v>167634.66666666701</v>
      </c>
      <c r="K239" s="70"/>
      <c r="L239" s="70">
        <v>33000</v>
      </c>
      <c r="M239" s="70"/>
      <c r="N239" s="70"/>
      <c r="O239" s="70"/>
      <c r="P239" s="70"/>
      <c r="Q239" s="70">
        <v>13457.584000000001</v>
      </c>
      <c r="R239" s="70">
        <v>11250.7733333334</v>
      </c>
      <c r="S239" s="467">
        <f t="shared" si="56"/>
        <v>57708.357333333399</v>
      </c>
      <c r="T239" s="70">
        <v>109926.30933333399</v>
      </c>
      <c r="U239" s="466">
        <f t="shared" si="63"/>
        <v>109926.30933333399</v>
      </c>
    </row>
    <row r="240" spans="1:21" ht="20.100000000000001" customHeight="1">
      <c r="A240" s="25">
        <v>60</v>
      </c>
      <c r="B240" s="16" t="s">
        <v>394</v>
      </c>
      <c r="C240" s="10" t="s">
        <v>392</v>
      </c>
      <c r="D240" s="13" t="s">
        <v>395</v>
      </c>
      <c r="E240" s="70">
        <v>137773.5</v>
      </c>
      <c r="F240" s="186"/>
      <c r="G240" s="186"/>
      <c r="H240" s="186">
        <f>15000</f>
        <v>15000</v>
      </c>
      <c r="I240" s="70">
        <f>7000</f>
        <v>7000</v>
      </c>
      <c r="J240" s="466">
        <f t="shared" si="69"/>
        <v>159773.5</v>
      </c>
      <c r="K240" s="70"/>
      <c r="L240" s="70">
        <v>40000</v>
      </c>
      <c r="M240" s="70">
        <v>18333.330000000002</v>
      </c>
      <c r="N240" s="70">
        <v>10000</v>
      </c>
      <c r="O240" s="70">
        <v>13289.38</v>
      </c>
      <c r="P240" s="70"/>
      <c r="Q240" s="70">
        <v>12312.743</v>
      </c>
      <c r="R240" s="70">
        <v>11021.88</v>
      </c>
      <c r="S240" s="467">
        <f t="shared" si="56"/>
        <v>104957.333</v>
      </c>
      <c r="T240" s="70">
        <v>68105.547000000006</v>
      </c>
      <c r="U240" s="466">
        <f t="shared" si="63"/>
        <v>54816.167000000001</v>
      </c>
    </row>
    <row r="241" spans="1:21" ht="20.100000000000001" customHeight="1">
      <c r="A241" s="25">
        <v>61</v>
      </c>
      <c r="B241" s="16" t="s">
        <v>396</v>
      </c>
      <c r="C241" s="10" t="s">
        <v>392</v>
      </c>
      <c r="D241" s="13" t="s">
        <v>397</v>
      </c>
      <c r="E241" s="70">
        <v>134912.66666666701</v>
      </c>
      <c r="F241" s="186"/>
      <c r="G241" s="186"/>
      <c r="H241" s="186">
        <f>15000</f>
        <v>15000</v>
      </c>
      <c r="I241" s="70">
        <f>7000</f>
        <v>7000</v>
      </c>
      <c r="J241" s="466">
        <f t="shared" si="69"/>
        <v>156912.66666666701</v>
      </c>
      <c r="K241" s="70"/>
      <c r="L241" s="70">
        <v>50000</v>
      </c>
      <c r="M241" s="70"/>
      <c r="N241" s="70">
        <v>30000</v>
      </c>
      <c r="O241" s="70">
        <v>12430</v>
      </c>
      <c r="P241" s="70"/>
      <c r="Q241" s="70">
        <v>11917.948</v>
      </c>
      <c r="R241" s="70">
        <v>10793.0133333334</v>
      </c>
      <c r="S241" s="467">
        <f t="shared" si="56"/>
        <v>115140.96133333301</v>
      </c>
      <c r="T241" s="70">
        <v>52201.705333333601</v>
      </c>
      <c r="U241" s="466">
        <f t="shared" si="63"/>
        <v>41771.705333333601</v>
      </c>
    </row>
    <row r="242" spans="1:21" ht="20.100000000000001" customHeight="1">
      <c r="A242" s="25">
        <v>62</v>
      </c>
      <c r="B242" s="16" t="s">
        <v>398</v>
      </c>
      <c r="C242" s="10" t="s">
        <v>399</v>
      </c>
      <c r="D242" s="13" t="s">
        <v>400</v>
      </c>
      <c r="E242" s="70">
        <v>131512.16666666701</v>
      </c>
      <c r="F242" s="102"/>
      <c r="G242" s="2"/>
      <c r="H242" s="102">
        <v>15000</v>
      </c>
      <c r="I242" s="102">
        <v>4000</v>
      </c>
      <c r="J242" s="466">
        <f t="shared" si="69"/>
        <v>150512.16666666701</v>
      </c>
      <c r="K242" s="70"/>
      <c r="L242" s="70">
        <v>10000</v>
      </c>
      <c r="M242" s="70"/>
      <c r="N242" s="70"/>
      <c r="O242" s="70"/>
      <c r="P242" s="70"/>
      <c r="Q242" s="70">
        <v>10998.679</v>
      </c>
      <c r="R242" s="70">
        <v>10520.973333333301</v>
      </c>
      <c r="S242" s="467">
        <f t="shared" si="56"/>
        <v>31519.652333333299</v>
      </c>
      <c r="T242" s="70">
        <v>118992.51433333399</v>
      </c>
      <c r="U242" s="466">
        <f t="shared" si="63"/>
        <v>118992.51433333399</v>
      </c>
    </row>
    <row r="243" spans="1:21" ht="20.100000000000001" customHeight="1">
      <c r="A243" s="25">
        <v>63</v>
      </c>
      <c r="B243" s="16" t="s">
        <v>401</v>
      </c>
      <c r="C243" s="10" t="s">
        <v>399</v>
      </c>
      <c r="D243" s="13" t="s">
        <v>400</v>
      </c>
      <c r="E243" s="70">
        <v>131512.16666666701</v>
      </c>
      <c r="F243" s="102"/>
      <c r="G243" s="2"/>
      <c r="H243" s="102">
        <v>15000</v>
      </c>
      <c r="I243" s="102">
        <v>4000</v>
      </c>
      <c r="J243" s="466">
        <f t="shared" si="69"/>
        <v>150512.16666666701</v>
      </c>
      <c r="K243" s="70"/>
      <c r="L243" s="70">
        <v>10000</v>
      </c>
      <c r="M243" s="70">
        <v>22916.67</v>
      </c>
      <c r="N243" s="70"/>
      <c r="O243" s="70"/>
      <c r="P243" s="70"/>
      <c r="Q243" s="70">
        <v>10998.679</v>
      </c>
      <c r="R243" s="70">
        <v>10520.973333333301</v>
      </c>
      <c r="S243" s="467">
        <f t="shared" si="56"/>
        <v>54436.322333333301</v>
      </c>
      <c r="T243" s="70">
        <v>96075.844333333705</v>
      </c>
      <c r="U243" s="466">
        <f t="shared" si="63"/>
        <v>96075.844333333705</v>
      </c>
    </row>
    <row r="244" spans="1:21" ht="20.100000000000001" customHeight="1">
      <c r="A244" s="25">
        <v>64</v>
      </c>
      <c r="B244" s="16" t="s">
        <v>402</v>
      </c>
      <c r="C244" s="10" t="s">
        <v>399</v>
      </c>
      <c r="D244" s="13" t="s">
        <v>400</v>
      </c>
      <c r="E244" s="70">
        <v>131512.16666666701</v>
      </c>
      <c r="F244" s="102"/>
      <c r="G244" s="2"/>
      <c r="H244" s="102">
        <v>15000</v>
      </c>
      <c r="I244" s="102">
        <v>4000</v>
      </c>
      <c r="J244" s="466">
        <f t="shared" si="69"/>
        <v>150512.16666666701</v>
      </c>
      <c r="K244" s="70"/>
      <c r="L244" s="70">
        <v>10000</v>
      </c>
      <c r="M244" s="70">
        <f>8750</f>
        <v>8750</v>
      </c>
      <c r="N244" s="70"/>
      <c r="O244" s="70"/>
      <c r="P244" s="70"/>
      <c r="Q244" s="70">
        <v>10998.679</v>
      </c>
      <c r="R244" s="70">
        <v>10520.973333333301</v>
      </c>
      <c r="S244" s="467">
        <f t="shared" si="56"/>
        <v>40269.652333333303</v>
      </c>
      <c r="T244" s="70">
        <v>110242.51433333399</v>
      </c>
      <c r="U244" s="466">
        <f t="shared" si="63"/>
        <v>110242.51433333399</v>
      </c>
    </row>
    <row r="245" spans="1:21" ht="20.100000000000001" customHeight="1">
      <c r="A245" s="25">
        <v>65</v>
      </c>
      <c r="B245" s="16" t="s">
        <v>403</v>
      </c>
      <c r="C245" s="10" t="s">
        <v>404</v>
      </c>
      <c r="D245" s="13" t="s">
        <v>405</v>
      </c>
      <c r="E245" s="70">
        <v>143495.66666666701</v>
      </c>
      <c r="F245" s="102"/>
      <c r="G245" s="186"/>
      <c r="H245" s="186">
        <f>15000</f>
        <v>15000</v>
      </c>
      <c r="I245" s="70">
        <v>7000</v>
      </c>
      <c r="J245" s="466">
        <f t="shared" si="69"/>
        <v>165495.66666666701</v>
      </c>
      <c r="K245" s="70"/>
      <c r="L245" s="70">
        <v>10000</v>
      </c>
      <c r="M245" s="70"/>
      <c r="N245" s="70">
        <v>10000</v>
      </c>
      <c r="O245" s="70"/>
      <c r="P245" s="70">
        <v>2487.1729166666701</v>
      </c>
      <c r="Q245" s="70">
        <v>12729.3260625</v>
      </c>
      <c r="R245" s="70">
        <v>11479.653333333301</v>
      </c>
      <c r="S245" s="467">
        <f>SUM(K245:R245)</f>
        <v>46696.152312500002</v>
      </c>
      <c r="T245" s="70">
        <v>118799.514354167</v>
      </c>
      <c r="U245" s="466">
        <f t="shared" si="63"/>
        <v>118799.514354167</v>
      </c>
    </row>
    <row r="246" spans="1:21" ht="20.100000000000001" customHeight="1">
      <c r="A246" s="25">
        <v>66</v>
      </c>
      <c r="B246" s="16" t="s">
        <v>406</v>
      </c>
      <c r="C246" s="10" t="s">
        <v>404</v>
      </c>
      <c r="D246" s="13" t="s">
        <v>405</v>
      </c>
      <c r="E246" s="70">
        <v>143495.66666666701</v>
      </c>
      <c r="F246" s="102"/>
      <c r="G246" s="186"/>
      <c r="H246" s="186">
        <f>15000</f>
        <v>15000</v>
      </c>
      <c r="I246" s="70">
        <v>7000</v>
      </c>
      <c r="J246" s="466">
        <f t="shared" si="69"/>
        <v>165495.66666666701</v>
      </c>
      <c r="K246" s="70"/>
      <c r="L246" s="70">
        <v>5000</v>
      </c>
      <c r="M246" s="70"/>
      <c r="N246" s="70">
        <v>10000</v>
      </c>
      <c r="O246" s="70">
        <v>17496.88</v>
      </c>
      <c r="P246" s="70"/>
      <c r="Q246" s="70">
        <v>13102.402</v>
      </c>
      <c r="R246" s="70">
        <v>11479.653333333301</v>
      </c>
      <c r="S246" s="467">
        <f>SUM(K246:R246)</f>
        <v>57078.935333333298</v>
      </c>
      <c r="T246" s="70">
        <v>125913.611333334</v>
      </c>
      <c r="U246" s="466">
        <f t="shared" si="63"/>
        <v>108416.731333334</v>
      </c>
    </row>
    <row r="247" spans="1:21" ht="30.75" customHeight="1">
      <c r="A247" s="25"/>
      <c r="B247" s="6" t="s">
        <v>120</v>
      </c>
      <c r="C247" s="26" t="s">
        <v>407</v>
      </c>
      <c r="D247" s="27"/>
      <c r="E247" s="78">
        <f>SUM(E181:E246)</f>
        <v>23042033.916666701</v>
      </c>
      <c r="F247" s="78">
        <f t="shared" ref="F247:U247" si="70">SUM(F181:F246)</f>
        <v>239473.704301074</v>
      </c>
      <c r="G247" s="78">
        <f t="shared" si="70"/>
        <v>0</v>
      </c>
      <c r="H247" s="78">
        <f t="shared" si="70"/>
        <v>3125000</v>
      </c>
      <c r="I247" s="78">
        <f t="shared" si="70"/>
        <v>226000</v>
      </c>
      <c r="J247" s="78">
        <f t="shared" si="70"/>
        <v>26632507.620967701</v>
      </c>
      <c r="K247" s="78">
        <f t="shared" si="70"/>
        <v>0</v>
      </c>
      <c r="L247" s="78">
        <f t="shared" si="70"/>
        <v>1953500</v>
      </c>
      <c r="M247" s="78">
        <f t="shared" si="70"/>
        <v>3147159.37</v>
      </c>
      <c r="N247" s="78">
        <f t="shared" si="70"/>
        <v>943000</v>
      </c>
      <c r="O247" s="78">
        <f t="shared" si="70"/>
        <v>546266.54</v>
      </c>
      <c r="P247" s="78">
        <f t="shared" si="70"/>
        <v>170278.02083333299</v>
      </c>
      <c r="Q247" s="78">
        <f t="shared" si="70"/>
        <v>3314271.2714866898</v>
      </c>
      <c r="R247" s="78">
        <f t="shared" si="70"/>
        <v>1843362.7133333299</v>
      </c>
      <c r="S247" s="78">
        <f t="shared" si="70"/>
        <v>11917837.9156534</v>
      </c>
      <c r="T247" s="78">
        <f t="shared" si="70"/>
        <v>15017161.9210208</v>
      </c>
      <c r="U247" s="78">
        <f t="shared" si="70"/>
        <v>14714669.7053144</v>
      </c>
    </row>
    <row r="248" spans="1:21" ht="30" customHeight="1">
      <c r="A248" s="2"/>
      <c r="B248" s="28" t="s">
        <v>408</v>
      </c>
      <c r="C248" s="29">
        <f>C47+C57+C72+C77+C91+C105+C121+C131+C145+C163+C178+C247</f>
        <v>197</v>
      </c>
      <c r="D248" s="30"/>
      <c r="E248" s="193">
        <f>E247+E178+E163+E155+E145+E131+E121+E105+E91+E77+E72+E57+E47</f>
        <v>101115108.333333</v>
      </c>
      <c r="F248" s="193">
        <f t="shared" ref="F248:U248" si="71">F247+F178+F163+F155+F145+F131+F121+F105+F91+F77+F72+F57+F47</f>
        <v>1394588.44336917</v>
      </c>
      <c r="G248" s="193">
        <f t="shared" si="71"/>
        <v>9990000</v>
      </c>
      <c r="H248" s="193">
        <f t="shared" si="71"/>
        <v>7115000</v>
      </c>
      <c r="I248" s="193">
        <f t="shared" si="71"/>
        <v>3150719.3783333302</v>
      </c>
      <c r="J248" s="193">
        <f t="shared" si="71"/>
        <v>122324275.488369</v>
      </c>
      <c r="K248" s="193">
        <f t="shared" si="71"/>
        <v>0</v>
      </c>
      <c r="L248" s="193">
        <f t="shared" si="71"/>
        <v>8076500</v>
      </c>
      <c r="M248" s="193">
        <f t="shared" si="71"/>
        <v>10045100.383333299</v>
      </c>
      <c r="N248" s="193">
        <f t="shared" si="71"/>
        <v>3165000</v>
      </c>
      <c r="O248" s="193">
        <f t="shared" si="71"/>
        <v>999337.3</v>
      </c>
      <c r="P248" s="193">
        <f t="shared" si="71"/>
        <v>677813.76875000005</v>
      </c>
      <c r="Q248" s="193">
        <f t="shared" si="71"/>
        <v>17200698.870314799</v>
      </c>
      <c r="R248" s="193">
        <f t="shared" si="71"/>
        <v>7828601.90666667</v>
      </c>
      <c r="S248" s="193">
        <f t="shared" si="71"/>
        <v>47993052.2290648</v>
      </c>
      <c r="T248" s="193">
        <f t="shared" si="71"/>
        <v>74388110.096804202</v>
      </c>
      <c r="U248" s="193">
        <f t="shared" si="71"/>
        <v>74331223.259304404</v>
      </c>
    </row>
    <row r="249" spans="1:21" ht="26.1" customHeight="1">
      <c r="B249" s="31"/>
      <c r="D249" s="32"/>
      <c r="E249" s="32"/>
      <c r="F249" s="32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5"/>
      <c r="R249" s="195"/>
      <c r="S249" s="195"/>
      <c r="T249" s="195"/>
      <c r="U249" s="195"/>
    </row>
    <row r="250" spans="1:21" ht="29.1" customHeight="1">
      <c r="B250" s="31"/>
      <c r="C250" s="32"/>
      <c r="D250" s="32"/>
      <c r="E250" s="32"/>
      <c r="F250" s="32"/>
      <c r="G250" s="194"/>
      <c r="H250" s="194"/>
      <c r="J250" s="194" t="s">
        <v>409</v>
      </c>
      <c r="K250" s="194"/>
      <c r="L250" s="194"/>
      <c r="M250" s="194"/>
      <c r="N250" s="194"/>
      <c r="O250" s="194"/>
      <c r="P250" s="194"/>
      <c r="Q250" s="195"/>
      <c r="R250" s="195"/>
      <c r="S250" s="195"/>
      <c r="T250" s="195"/>
      <c r="U250" s="33"/>
    </row>
    <row r="251" spans="1:21" ht="20.100000000000001" customHeight="1">
      <c r="I251" s="1113"/>
      <c r="S251" s="33"/>
      <c r="U251" s="298"/>
    </row>
    <row r="252" spans="1:21" ht="20.100000000000001" customHeight="1">
      <c r="U252" s="33"/>
    </row>
    <row r="253" spans="1:21" ht="20.100000000000001" customHeight="1">
      <c r="J253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8" max="20" man="1"/>
    <brk id="105" max="20" man="1"/>
    <brk id="156" max="20" man="1"/>
    <brk id="20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tabSelected="1" topLeftCell="A56" zoomScale="91" zoomScaleNormal="91" workbookViewId="0">
      <selection activeCell="I64" sqref="I64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0.42578125" customWidth="1"/>
    <col min="8" max="8" width="20.14062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6.950000000000003" customHeight="1">
      <c r="B1" s="1087"/>
      <c r="C1" s="1087"/>
      <c r="D1" s="1087"/>
      <c r="E1" s="1087"/>
      <c r="F1" s="1087"/>
      <c r="G1" s="1087"/>
      <c r="H1" s="1087"/>
    </row>
    <row r="2" spans="1:8" ht="23.1" customHeight="1">
      <c r="A2" s="1125" t="s">
        <v>0</v>
      </c>
      <c r="B2" s="1125"/>
      <c r="C2" s="1125"/>
      <c r="D2" s="1125"/>
      <c r="E2" s="1125"/>
      <c r="F2" s="1125"/>
      <c r="G2" s="1125"/>
      <c r="H2" s="1125"/>
    </row>
    <row r="3" spans="1:8" ht="21" customHeight="1">
      <c r="A3" s="1125" t="s">
        <v>410</v>
      </c>
      <c r="B3" s="1125"/>
      <c r="C3" s="1125"/>
      <c r="D3" s="1125"/>
      <c r="E3" s="1125"/>
      <c r="F3" s="1125"/>
      <c r="G3" s="1125"/>
      <c r="H3" s="1125"/>
    </row>
    <row r="4" spans="1:8" ht="15.6" hidden="1" customHeight="1">
      <c r="A4" s="1088" t="s">
        <v>411</v>
      </c>
      <c r="B4" s="1088"/>
      <c r="C4" s="1088"/>
      <c r="D4" s="1088"/>
      <c r="E4" s="1088"/>
      <c r="F4" s="1088"/>
      <c r="G4" s="1089"/>
      <c r="H4" s="1089"/>
    </row>
    <row r="5" spans="1:8" ht="9.6" hidden="1" customHeight="1">
      <c r="A5" s="1126" t="s">
        <v>412</v>
      </c>
      <c r="B5" s="1126"/>
      <c r="C5" s="1126"/>
      <c r="D5" s="1126"/>
      <c r="E5" s="1126"/>
      <c r="F5" s="1126"/>
      <c r="G5" s="1089"/>
      <c r="H5" s="1089"/>
    </row>
    <row r="6" spans="1:8" ht="29.25" hidden="1" customHeight="1">
      <c r="A6" s="1126" t="s">
        <v>413</v>
      </c>
      <c r="B6" s="1126"/>
      <c r="C6" s="1126"/>
      <c r="D6" s="1126"/>
      <c r="E6" s="1126"/>
      <c r="F6" s="1126"/>
      <c r="G6" s="1089"/>
      <c r="H6" s="1089"/>
    </row>
    <row r="7" spans="1:8" ht="25.15" hidden="1" customHeight="1">
      <c r="A7" s="1126" t="s">
        <v>414</v>
      </c>
      <c r="B7" s="1126"/>
      <c r="C7" s="1126"/>
      <c r="D7" s="1126"/>
      <c r="E7" s="1126"/>
      <c r="F7" s="1089"/>
      <c r="G7" s="1089"/>
      <c r="H7" s="1089"/>
    </row>
    <row r="8" spans="1:8" ht="24.75" hidden="1" customHeight="1">
      <c r="A8" s="1089"/>
      <c r="B8" s="1089"/>
      <c r="C8" s="1089"/>
      <c r="D8" s="1089"/>
      <c r="E8" s="1089"/>
      <c r="F8" s="1089"/>
      <c r="G8" s="1089"/>
      <c r="H8" s="1089"/>
    </row>
    <row r="9" spans="1:8" ht="24" hidden="1" customHeight="1">
      <c r="A9" s="1127" t="s">
        <v>415</v>
      </c>
      <c r="B9" s="1127"/>
      <c r="C9" s="1127"/>
      <c r="D9" s="1127"/>
      <c r="E9" s="1127"/>
      <c r="F9" s="1127"/>
      <c r="G9" s="1089"/>
      <c r="H9" s="1089"/>
    </row>
    <row r="10" spans="1:8" ht="13.15" hidden="1" customHeight="1">
      <c r="A10" s="1126" t="s">
        <v>416</v>
      </c>
      <c r="B10" s="1126"/>
      <c r="C10" s="1126"/>
      <c r="D10" s="1126"/>
      <c r="E10" s="1126"/>
      <c r="F10" s="1126"/>
      <c r="G10" s="1126"/>
      <c r="H10" s="1126"/>
    </row>
    <row r="11" spans="1:8" ht="18" hidden="1" customHeight="1">
      <c r="A11" s="1090"/>
      <c r="B11" s="1089"/>
      <c r="C11" s="1089"/>
      <c r="D11" s="1089"/>
      <c r="E11" s="1089"/>
      <c r="F11" s="1089"/>
      <c r="G11" s="1089"/>
      <c r="H11" s="1089"/>
    </row>
    <row r="12" spans="1:8" ht="18.75" hidden="1" customHeight="1">
      <c r="A12" s="1090"/>
      <c r="B12" s="1089"/>
      <c r="C12" s="1089"/>
      <c r="D12" s="1089"/>
      <c r="E12" s="1089"/>
      <c r="F12" s="1089"/>
      <c r="G12" s="1089"/>
      <c r="H12" s="1089"/>
    </row>
    <row r="13" spans="1:8" ht="19.5" customHeight="1">
      <c r="A13" s="147" t="s">
        <v>417</v>
      </c>
      <c r="B13" s="147"/>
      <c r="C13" s="147" t="s">
        <v>418</v>
      </c>
      <c r="D13" s="147"/>
      <c r="E13" s="147"/>
      <c r="F13" s="819"/>
      <c r="G13" s="1091"/>
      <c r="H13" s="1089"/>
    </row>
    <row r="14" spans="1:8" ht="20.25" customHeight="1">
      <c r="A14" s="147" t="s">
        <v>419</v>
      </c>
      <c r="B14" s="819"/>
      <c r="C14" s="147" t="s">
        <v>420</v>
      </c>
      <c r="D14" s="147"/>
      <c r="E14" s="147"/>
      <c r="F14" s="147"/>
      <c r="G14" s="44"/>
      <c r="H14" s="1089"/>
    </row>
    <row r="15" spans="1:8" ht="21" customHeight="1">
      <c r="A15" s="147" t="s">
        <v>421</v>
      </c>
      <c r="B15" s="147"/>
      <c r="C15" s="147" t="s">
        <v>422</v>
      </c>
      <c r="D15" s="147"/>
      <c r="E15" s="147"/>
      <c r="F15" s="147"/>
      <c r="G15" s="44"/>
      <c r="H15" s="1089"/>
    </row>
    <row r="16" spans="1:8" ht="21" customHeight="1">
      <c r="A16" s="147" t="s">
        <v>423</v>
      </c>
      <c r="B16" s="147"/>
      <c r="C16" s="147" t="s">
        <v>424</v>
      </c>
      <c r="D16" s="147"/>
      <c r="E16" s="819"/>
      <c r="F16" s="819"/>
      <c r="G16" s="1091"/>
      <c r="H16" s="1089"/>
    </row>
    <row r="17" spans="1:10" ht="11.1" customHeight="1">
      <c r="A17" s="44"/>
      <c r="B17" s="44"/>
      <c r="C17" s="44"/>
      <c r="D17" s="44"/>
      <c r="E17" s="1091"/>
      <c r="F17" s="1091"/>
      <c r="G17" s="1091"/>
      <c r="H17" s="1089"/>
    </row>
    <row r="18" spans="1:10" ht="24" customHeight="1">
      <c r="A18" s="224" t="s">
        <v>425</v>
      </c>
      <c r="B18" s="224"/>
      <c r="C18" s="1092"/>
      <c r="D18" s="1092"/>
      <c r="E18" s="1092"/>
      <c r="F18" s="1092"/>
      <c r="G18" s="1091"/>
      <c r="H18" s="1089"/>
    </row>
    <row r="19" spans="1:10" ht="26.1" customHeight="1">
      <c r="A19" s="44" t="s">
        <v>426</v>
      </c>
      <c r="B19" s="44"/>
      <c r="C19" s="1091"/>
      <c r="D19" s="1091"/>
      <c r="E19" s="1091"/>
      <c r="F19" s="1091"/>
      <c r="G19" s="577" t="s">
        <v>427</v>
      </c>
      <c r="H19" s="577" t="s">
        <v>427</v>
      </c>
    </row>
    <row r="20" spans="1:10" ht="21" customHeight="1">
      <c r="A20" s="1128" t="s">
        <v>428</v>
      </c>
      <c r="B20" s="1128"/>
      <c r="C20" s="1128"/>
      <c r="D20" s="1128"/>
      <c r="E20" s="1128"/>
      <c r="F20" s="1128"/>
      <c r="G20" s="1128"/>
      <c r="H20" s="1094">
        <f>'JANUARY 2026'!J248</f>
        <v>122324275.488369</v>
      </c>
      <c r="J20" s="370"/>
    </row>
    <row r="21" spans="1:10" ht="9" customHeight="1">
      <c r="A21" s="1093"/>
      <c r="B21" s="1093"/>
      <c r="C21" s="1093"/>
      <c r="D21" s="1093"/>
      <c r="E21" s="1093"/>
      <c r="F21" s="1093"/>
      <c r="G21" s="1093"/>
      <c r="H21" s="1094"/>
      <c r="J21" s="370"/>
    </row>
    <row r="22" spans="1:10" ht="21.75" customHeight="1">
      <c r="A22" s="1129" t="s">
        <v>429</v>
      </c>
      <c r="B22" s="1129"/>
      <c r="C22" s="1129"/>
      <c r="D22" s="1129"/>
      <c r="E22" s="1129"/>
      <c r="F22" s="1129"/>
      <c r="G22" s="1095"/>
      <c r="H22" s="44"/>
      <c r="I22" s="370"/>
    </row>
    <row r="23" spans="1:10" ht="18.75" customHeight="1">
      <c r="A23" s="1130" t="s">
        <v>430</v>
      </c>
      <c r="B23" s="1130"/>
      <c r="C23" s="1130"/>
      <c r="D23" s="1130"/>
      <c r="E23" s="1130"/>
      <c r="F23" s="1130"/>
      <c r="G23" s="132">
        <f>'JANUARY 2026'!L248</f>
        <v>8076500</v>
      </c>
      <c r="H23" s="44"/>
      <c r="J23" s="370"/>
    </row>
    <row r="24" spans="1:10" ht="19.5" customHeight="1">
      <c r="A24" s="1130" t="s">
        <v>12</v>
      </c>
      <c r="B24" s="1130"/>
      <c r="C24" s="1130"/>
      <c r="D24" s="1130"/>
      <c r="E24" s="1130"/>
      <c r="F24" s="1130"/>
      <c r="G24" s="132">
        <f>'JANUARY 2026'!M248</f>
        <v>10045100.383333299</v>
      </c>
      <c r="H24" s="44"/>
    </row>
    <row r="25" spans="1:10" ht="19.5" customHeight="1">
      <c r="A25" s="1130" t="s">
        <v>431</v>
      </c>
      <c r="B25" s="1130"/>
      <c r="C25" s="1130"/>
      <c r="D25" s="1130"/>
      <c r="E25" s="1130"/>
      <c r="F25" s="1130"/>
      <c r="G25" s="132">
        <f>'JANUARY 2026'!N248</f>
        <v>3165000</v>
      </c>
      <c r="H25" s="44"/>
    </row>
    <row r="26" spans="1:10" ht="19.5" customHeight="1">
      <c r="A26" s="1130" t="s">
        <v>12</v>
      </c>
      <c r="B26" s="1130"/>
      <c r="C26" s="1130"/>
      <c r="D26" s="1130"/>
      <c r="E26" s="1130"/>
      <c r="F26" s="1130"/>
      <c r="G26" s="132">
        <f>'JANUARY 2026'!O248</f>
        <v>999337.3</v>
      </c>
      <c r="H26" s="44"/>
    </row>
    <row r="27" spans="1:10" ht="20.25" customHeight="1">
      <c r="A27" s="1131" t="s">
        <v>432</v>
      </c>
      <c r="B27" s="1131"/>
      <c r="C27" s="1131"/>
      <c r="D27" s="1131"/>
      <c r="E27" s="1131"/>
      <c r="F27" s="1131"/>
      <c r="G27" s="132">
        <f>'JANUARY 2026'!P248</f>
        <v>677813.76875000005</v>
      </c>
      <c r="H27" s="44"/>
    </row>
    <row r="28" spans="1:10" ht="20.25" customHeight="1">
      <c r="A28" s="1130" t="s">
        <v>433</v>
      </c>
      <c r="B28" s="1130"/>
      <c r="C28" s="1130"/>
      <c r="D28" s="1130"/>
      <c r="E28" s="1130"/>
      <c r="F28" s="1130"/>
      <c r="G28" s="132">
        <f>'JANUARY 2026'!Q248</f>
        <v>17200698.870314799</v>
      </c>
      <c r="H28" s="44"/>
    </row>
    <row r="29" spans="1:10" ht="21" customHeight="1">
      <c r="A29" s="1130" t="s">
        <v>434</v>
      </c>
      <c r="B29" s="1130"/>
      <c r="C29" s="1130"/>
      <c r="D29" s="1130"/>
      <c r="E29" s="1130"/>
      <c r="F29" s="1130"/>
      <c r="G29" s="1098">
        <f>'JANUARY 2026'!R248</f>
        <v>7828601.90666667</v>
      </c>
      <c r="H29" s="44"/>
    </row>
    <row r="30" spans="1:10" ht="28.5" customHeight="1">
      <c r="A30" s="1130" t="s">
        <v>435</v>
      </c>
      <c r="B30" s="1130"/>
      <c r="C30" s="1130"/>
      <c r="D30" s="1130"/>
      <c r="E30" s="1130"/>
      <c r="F30" s="1130"/>
      <c r="H30" s="132">
        <f>SUM(G23:G29)</f>
        <v>47993052.2290648</v>
      </c>
      <c r="I30" s="372"/>
    </row>
    <row r="31" spans="1:10" ht="20.25" customHeight="1">
      <c r="A31" s="1130" t="s">
        <v>436</v>
      </c>
      <c r="B31" s="1130"/>
      <c r="C31" s="1130"/>
      <c r="D31" s="1130"/>
      <c r="E31" s="1130"/>
      <c r="F31" s="1130"/>
      <c r="G31" s="224"/>
      <c r="H31" s="126">
        <f>H20-H30</f>
        <v>74331223.259304404</v>
      </c>
      <c r="I31" s="179"/>
      <c r="J31" s="179"/>
    </row>
    <row r="32" spans="1:10" ht="21" customHeight="1">
      <c r="A32" s="1130" t="s">
        <v>437</v>
      </c>
      <c r="B32" s="1130"/>
      <c r="C32" s="1130"/>
      <c r="D32" s="1130"/>
      <c r="E32" s="1130"/>
      <c r="F32" s="1130"/>
      <c r="G32" s="224"/>
      <c r="H32" s="648">
        <f>'JANUARY 2026'!T248</f>
        <v>74388110.096804202</v>
      </c>
    </row>
    <row r="33" spans="1:17" ht="21" customHeight="1">
      <c r="A33" s="1130" t="s">
        <v>438</v>
      </c>
      <c r="B33" s="1130"/>
      <c r="C33" s="1130"/>
      <c r="D33" s="1130"/>
      <c r="E33" s="1130"/>
      <c r="F33" s="1130"/>
      <c r="G33" s="224"/>
      <c r="H33" s="1099">
        <f>H31-H32</f>
        <v>-56886.837499812202</v>
      </c>
    </row>
    <row r="34" spans="1:17" ht="24" customHeight="1">
      <c r="A34" s="1128" t="s">
        <v>439</v>
      </c>
      <c r="B34" s="1128"/>
      <c r="C34" s="1128"/>
      <c r="D34" s="1128"/>
      <c r="E34" s="1128"/>
      <c r="F34" s="1128"/>
      <c r="G34" s="1128"/>
      <c r="H34" s="44"/>
    </row>
    <row r="35" spans="1:17" ht="21.75" customHeight="1">
      <c r="A35" s="1096" t="s">
        <v>440</v>
      </c>
      <c r="B35" s="1096"/>
      <c r="C35" s="1096"/>
      <c r="D35" s="1096"/>
      <c r="E35" s="1096"/>
      <c r="F35" s="1096"/>
      <c r="G35" s="1096"/>
      <c r="H35" s="1100">
        <v>-200500</v>
      </c>
      <c r="I35" s="368"/>
      <c r="J35" s="372"/>
    </row>
    <row r="36" spans="1:17" ht="21.75" customHeight="1">
      <c r="A36" s="1096" t="s">
        <v>441</v>
      </c>
      <c r="B36" s="1096"/>
      <c r="C36" s="1096"/>
      <c r="D36" s="1096"/>
      <c r="E36" s="1096"/>
      <c r="F36" s="1096"/>
      <c r="G36" s="1096"/>
      <c r="H36" s="1100">
        <f>996037.3+180000-4000+3300+14000</f>
        <v>1189337.3</v>
      </c>
      <c r="I36" s="368"/>
      <c r="J36" s="372"/>
    </row>
    <row r="37" spans="1:17" ht="21.75" customHeight="1">
      <c r="A37" s="1096" t="s">
        <v>442</v>
      </c>
      <c r="B37" s="1096"/>
      <c r="C37" s="1096"/>
      <c r="D37" s="1096"/>
      <c r="E37" s="1096"/>
      <c r="F37" s="1096"/>
      <c r="G37" s="1096"/>
      <c r="H37" s="1100">
        <v>-49000</v>
      </c>
      <c r="I37" s="372"/>
      <c r="J37" s="372"/>
    </row>
    <row r="38" spans="1:17" ht="21.75" customHeight="1">
      <c r="A38" s="1096" t="s">
        <v>443</v>
      </c>
      <c r="B38" s="1096"/>
      <c r="C38" s="1096"/>
      <c r="D38" s="1096"/>
      <c r="E38" s="1096"/>
      <c r="F38" s="1096"/>
      <c r="G38" s="1096"/>
      <c r="H38" s="1100">
        <v>354232.52</v>
      </c>
      <c r="I38" s="372"/>
      <c r="J38" s="372"/>
    </row>
    <row r="39" spans="1:17" ht="21.75" customHeight="1">
      <c r="A39" s="1096" t="s">
        <v>444</v>
      </c>
      <c r="B39" s="1096"/>
      <c r="C39" s="1096"/>
      <c r="D39" s="1096"/>
      <c r="E39" s="1096"/>
      <c r="F39" s="1096"/>
      <c r="G39" s="1096"/>
      <c r="H39" s="1100">
        <v>136268.29999999999</v>
      </c>
      <c r="I39" s="372"/>
      <c r="J39" s="372"/>
    </row>
    <row r="40" spans="1:17" ht="21.75" customHeight="1">
      <c r="A40" s="1096" t="s">
        <v>445</v>
      </c>
      <c r="B40" s="1096"/>
      <c r="C40" s="1096"/>
      <c r="D40" s="1096"/>
      <c r="E40" s="1096"/>
      <c r="F40" s="1096"/>
      <c r="G40" s="1096"/>
      <c r="H40" s="1100">
        <v>-1370088.44</v>
      </c>
      <c r="I40" s="372"/>
      <c r="J40" s="372"/>
    </row>
    <row r="41" spans="1:17" ht="21.75" customHeight="1">
      <c r="A41" s="1096" t="s">
        <v>446</v>
      </c>
      <c r="B41" s="1096"/>
      <c r="C41" s="1096"/>
      <c r="D41" s="1096"/>
      <c r="E41" s="1096"/>
      <c r="F41" s="1096"/>
      <c r="G41" s="1096"/>
      <c r="H41" s="1100">
        <v>-70000</v>
      </c>
      <c r="I41" s="372"/>
      <c r="J41" s="372"/>
    </row>
    <row r="42" spans="1:17" ht="21.75" customHeight="1">
      <c r="A42" s="1096" t="s">
        <v>447</v>
      </c>
      <c r="B42" s="1096"/>
      <c r="C42" s="1096"/>
      <c r="D42" s="1096"/>
      <c r="E42" s="1096"/>
      <c r="F42" s="1096"/>
      <c r="G42" s="1096"/>
      <c r="H42" s="1100">
        <v>11452.25</v>
      </c>
      <c r="I42" s="372"/>
      <c r="J42" s="372"/>
    </row>
    <row r="43" spans="1:17" ht="21.75" customHeight="1">
      <c r="A43" s="1096" t="s">
        <v>448</v>
      </c>
      <c r="B43" s="1096"/>
      <c r="C43" s="1096"/>
      <c r="D43" s="1096"/>
      <c r="E43" s="1096"/>
      <c r="F43" s="1096"/>
      <c r="G43" s="1096"/>
      <c r="H43" s="1100">
        <f>55184.91</f>
        <v>55184.91</v>
      </c>
      <c r="I43" s="372"/>
      <c r="J43" s="372"/>
    </row>
    <row r="44" spans="1:17" ht="24" customHeight="1">
      <c r="H44" s="1101">
        <f>SUM(H35:H43)</f>
        <v>56886.8400000002</v>
      </c>
      <c r="I44" s="372"/>
      <c r="J44" s="368"/>
      <c r="K44" s="370"/>
      <c r="L44" s="368"/>
      <c r="M44" s="368"/>
      <c r="N44" s="370"/>
      <c r="P44" s="1104"/>
      <c r="Q44" s="370"/>
    </row>
    <row r="45" spans="1:17" ht="9" hidden="1" customHeight="1">
      <c r="H45" s="1102"/>
      <c r="I45" s="372"/>
      <c r="J45" s="368"/>
      <c r="K45" s="370"/>
      <c r="L45" s="368"/>
      <c r="M45" s="368"/>
      <c r="N45" s="370"/>
      <c r="P45" s="1104"/>
      <c r="Q45" s="370"/>
    </row>
    <row r="46" spans="1:17" ht="14.1" customHeight="1">
      <c r="A46" s="1096"/>
      <c r="B46" s="1096"/>
      <c r="C46" s="1096"/>
      <c r="D46" s="1096"/>
      <c r="E46" s="1096"/>
      <c r="F46" s="1096"/>
      <c r="G46" s="1096"/>
      <c r="H46" s="1102"/>
      <c r="I46" s="372"/>
      <c r="J46" s="368"/>
      <c r="K46" s="370"/>
      <c r="L46" s="368"/>
      <c r="M46" s="368"/>
      <c r="N46" s="370"/>
      <c r="P46" s="1104"/>
      <c r="Q46" s="370"/>
    </row>
    <row r="47" spans="1:17" ht="23.1" customHeight="1">
      <c r="A47" s="44"/>
      <c r="B47" s="44"/>
      <c r="C47" s="44"/>
      <c r="D47" s="44"/>
      <c r="E47" s="1132" t="s">
        <v>449</v>
      </c>
      <c r="F47" s="1133"/>
      <c r="G47" s="1133" t="s">
        <v>20</v>
      </c>
      <c r="H47" s="1133"/>
      <c r="I47" s="372"/>
      <c r="J47" s="372"/>
      <c r="K47" s="370"/>
    </row>
    <row r="48" spans="1:17" ht="18.600000000000001" customHeight="1">
      <c r="A48" s="44"/>
      <c r="B48" s="44"/>
      <c r="C48" s="44"/>
      <c r="D48" s="44"/>
      <c r="E48" s="55" t="s">
        <v>450</v>
      </c>
      <c r="F48" s="98" t="s">
        <v>21</v>
      </c>
      <c r="G48" s="55" t="s">
        <v>450</v>
      </c>
      <c r="H48" s="98" t="s">
        <v>21</v>
      </c>
      <c r="I48" s="372"/>
      <c r="J48" s="372"/>
    </row>
    <row r="49" spans="1:14" ht="28.5" customHeight="1">
      <c r="A49" s="46">
        <v>1</v>
      </c>
      <c r="B49" s="1134" t="s">
        <v>451</v>
      </c>
      <c r="C49" s="1130"/>
      <c r="D49" s="1130"/>
      <c r="E49" s="45">
        <v>32</v>
      </c>
      <c r="F49" s="47">
        <f>'JANUARY 2026'!T47</f>
        <v>17467624.5809667</v>
      </c>
      <c r="G49" s="45">
        <f>'JANUARY 2026'!C47</f>
        <v>40</v>
      </c>
      <c r="H49" s="47">
        <f>'JANUARY 2026'!U47</f>
        <v>17369356.009500001</v>
      </c>
      <c r="I49" s="372"/>
      <c r="J49" s="372"/>
    </row>
    <row r="50" spans="1:14" ht="21.75" customHeight="1">
      <c r="A50" s="46">
        <v>2</v>
      </c>
      <c r="B50" s="137" t="s">
        <v>452</v>
      </c>
      <c r="C50" s="1096"/>
      <c r="D50" s="1096"/>
      <c r="E50" s="45">
        <v>3</v>
      </c>
      <c r="F50" s="47">
        <f>'JANUARY 2026'!T57</f>
        <v>2460554.6639833301</v>
      </c>
      <c r="G50" s="45">
        <f>'JANUARY 2026'!C57</f>
        <v>7</v>
      </c>
      <c r="H50" s="47">
        <f>'JANUARY 2026'!U57</f>
        <v>2340995.0339833298</v>
      </c>
      <c r="I50" s="372"/>
      <c r="J50" s="372"/>
    </row>
    <row r="51" spans="1:14" ht="24.75" customHeight="1">
      <c r="A51" s="46">
        <v>3</v>
      </c>
      <c r="B51" s="1130" t="s">
        <v>453</v>
      </c>
      <c r="C51" s="1130"/>
      <c r="D51" s="1130"/>
      <c r="E51" s="45">
        <v>11</v>
      </c>
      <c r="F51" s="47">
        <f>'JANUARY 2026'!T72</f>
        <v>5818402.4485499999</v>
      </c>
      <c r="G51" s="45">
        <f>'JANUARY 2026'!C72</f>
        <v>12</v>
      </c>
      <c r="H51" s="47">
        <f>'JANUARY 2026'!U72</f>
        <v>5789547.4485499999</v>
      </c>
      <c r="I51" s="372"/>
      <c r="J51" s="372"/>
    </row>
    <row r="52" spans="1:14" ht="23.25" customHeight="1">
      <c r="A52" s="46">
        <v>4</v>
      </c>
      <c r="B52" s="1130" t="s">
        <v>454</v>
      </c>
      <c r="C52" s="1130"/>
      <c r="D52" s="1135"/>
      <c r="E52" s="45">
        <v>2</v>
      </c>
      <c r="F52" s="47">
        <f>'JANUARY 2026'!T77</f>
        <v>975030.39243332797</v>
      </c>
      <c r="G52" s="45">
        <f>'JANUARY 2026'!C77</f>
        <v>2</v>
      </c>
      <c r="H52" s="47">
        <f>'JANUARY 2026'!U77</f>
        <v>975030.39243332797</v>
      </c>
      <c r="I52" s="372"/>
      <c r="J52" s="372"/>
    </row>
    <row r="53" spans="1:14" ht="24" customHeight="1">
      <c r="A53" s="46">
        <v>5</v>
      </c>
      <c r="B53" s="1130" t="s">
        <v>455</v>
      </c>
      <c r="C53" s="1130"/>
      <c r="D53" s="1135"/>
      <c r="E53" s="45">
        <v>12</v>
      </c>
      <c r="F53" s="47">
        <f>'JANUARY 2026'!T91</f>
        <v>4096220.3629000001</v>
      </c>
      <c r="G53" s="45">
        <f>'JANUARY 2026'!C91</f>
        <v>11</v>
      </c>
      <c r="H53" s="47">
        <f>'JANUARY 2026'!U91</f>
        <v>4982080.4298400097</v>
      </c>
      <c r="I53" s="372"/>
      <c r="J53" s="372"/>
    </row>
    <row r="54" spans="1:14" ht="21" customHeight="1">
      <c r="A54" s="46">
        <v>6</v>
      </c>
      <c r="B54" s="1130" t="s">
        <v>456</v>
      </c>
      <c r="C54" s="1130"/>
      <c r="D54" s="1135"/>
      <c r="E54" s="45">
        <v>6</v>
      </c>
      <c r="F54" s="47">
        <f>'JANUARY 2026'!T105</f>
        <v>4820379.6871749898</v>
      </c>
      <c r="G54" s="45">
        <f>'JANUARY 2026'!C105</f>
        <v>11</v>
      </c>
      <c r="H54" s="47">
        <f>'JANUARY 2026'!U105</f>
        <v>4820379.6871749898</v>
      </c>
      <c r="I54" s="372"/>
      <c r="J54" s="372"/>
    </row>
    <row r="55" spans="1:14" ht="23.25" customHeight="1">
      <c r="A55" s="46">
        <v>7</v>
      </c>
      <c r="B55" s="1096" t="s">
        <v>457</v>
      </c>
      <c r="C55" s="1096"/>
      <c r="D55" s="1096"/>
      <c r="E55" s="45">
        <v>11</v>
      </c>
      <c r="F55" s="47">
        <f>'JANUARY 2026'!T121</f>
        <v>6975906.0604916699</v>
      </c>
      <c r="G55" s="45">
        <f>'JANUARY 2026'!C121</f>
        <v>13</v>
      </c>
      <c r="H55" s="47">
        <f>'JANUARY 2026'!U121</f>
        <v>6986791.8104916699</v>
      </c>
      <c r="I55" s="372"/>
      <c r="J55" s="372"/>
    </row>
    <row r="56" spans="1:14" ht="25.5" customHeight="1">
      <c r="A56" s="46">
        <v>8</v>
      </c>
      <c r="B56" s="1096" t="s">
        <v>458</v>
      </c>
      <c r="C56" s="1096"/>
      <c r="D56" s="1096"/>
      <c r="E56" s="45">
        <v>4</v>
      </c>
      <c r="F56" s="47">
        <f>'JANUARY 2026'!T131</f>
        <v>2840181.7232041601</v>
      </c>
      <c r="G56" s="45">
        <f>'JANUARY 2026'!C131</f>
        <v>7</v>
      </c>
      <c r="H56" s="47">
        <f>'JANUARY 2026'!U131</f>
        <v>3005574.2232041601</v>
      </c>
      <c r="I56" s="372"/>
      <c r="J56" s="372"/>
    </row>
    <row r="57" spans="1:14" ht="21.75" customHeight="1">
      <c r="A57" s="46">
        <v>9</v>
      </c>
      <c r="B57" s="1096" t="s">
        <v>459</v>
      </c>
      <c r="C57" s="1096"/>
      <c r="D57" s="1096"/>
      <c r="E57" s="45">
        <v>7</v>
      </c>
      <c r="F57" s="47">
        <f>'JANUARY 2026'!T145</f>
        <v>5383305.13375</v>
      </c>
      <c r="G57" s="45">
        <f>'JANUARY 2026'!C145</f>
        <v>11</v>
      </c>
      <c r="H57" s="47">
        <f>'JANUARY 2026'!U145</f>
        <v>5317116.0454166699</v>
      </c>
      <c r="I57" s="372"/>
      <c r="J57" s="372"/>
    </row>
    <row r="58" spans="1:14" ht="21.75" customHeight="1">
      <c r="A58" s="46">
        <v>10</v>
      </c>
      <c r="B58" s="1096" t="s">
        <v>460</v>
      </c>
      <c r="C58" s="1096"/>
      <c r="D58" s="1096"/>
      <c r="E58" s="45">
        <v>2</v>
      </c>
      <c r="F58" s="47">
        <f>'JANUARY 2026'!T155</f>
        <v>2555346.34798333</v>
      </c>
      <c r="G58" s="45">
        <f>'JANUARY 2026'!C155</f>
        <v>8</v>
      </c>
      <c r="H58" s="47">
        <f>'JANUARY 2026'!U155</f>
        <v>2555346.34798333</v>
      </c>
      <c r="I58" s="372"/>
      <c r="J58" s="372"/>
    </row>
    <row r="59" spans="1:14" ht="21.75" customHeight="1">
      <c r="A59" s="46">
        <v>11</v>
      </c>
      <c r="B59" s="1096" t="s">
        <v>461</v>
      </c>
      <c r="C59" s="1096"/>
      <c r="D59" s="1096"/>
      <c r="E59" s="45">
        <v>3</v>
      </c>
      <c r="F59" s="47">
        <f>'JANUARY 2026'!T163</f>
        <v>1514087.88513333</v>
      </c>
      <c r="G59" s="45">
        <v>5</v>
      </c>
      <c r="H59" s="47">
        <f>'JANUARY 2026'!U163</f>
        <v>1159855.3662</v>
      </c>
      <c r="I59" s="372"/>
      <c r="J59" s="372"/>
    </row>
    <row r="60" spans="1:14" ht="24.75" customHeight="1">
      <c r="A60" s="46">
        <v>12</v>
      </c>
      <c r="B60" s="1096" t="s">
        <v>462</v>
      </c>
      <c r="C60" s="1096"/>
      <c r="D60" s="1096"/>
      <c r="E60" s="45">
        <v>10</v>
      </c>
      <c r="F60" s="47">
        <f>'JANUARY 2026'!T178</f>
        <v>4463908.8892124901</v>
      </c>
      <c r="G60" s="1103" t="str">
        <f>'JANUARY 2026'!C178</f>
        <v>12</v>
      </c>
      <c r="H60" s="47">
        <f>'JANUARY 2026'!U178</f>
        <v>4314480.7592125004</v>
      </c>
      <c r="I60" s="372"/>
      <c r="J60" s="372"/>
    </row>
    <row r="61" spans="1:14" ht="24.75" customHeight="1">
      <c r="A61" s="46">
        <v>13</v>
      </c>
      <c r="B61" s="1130" t="s">
        <v>463</v>
      </c>
      <c r="C61" s="1130"/>
      <c r="D61" s="1130"/>
      <c r="E61" s="45">
        <v>61</v>
      </c>
      <c r="F61" s="47">
        <f>'JANUARY 2026'!T247</f>
        <v>15017161.9210208</v>
      </c>
      <c r="G61" s="1103" t="str">
        <f>'JANUARY 2026'!C247</f>
        <v>66</v>
      </c>
      <c r="H61" s="47">
        <f>'JANUARY 2026'!U247</f>
        <v>14714669.7053144</v>
      </c>
      <c r="I61" s="372"/>
      <c r="J61" s="372"/>
    </row>
    <row r="62" spans="1:14" ht="24" customHeight="1">
      <c r="A62" s="44"/>
      <c r="B62" s="44"/>
      <c r="C62" s="44"/>
      <c r="D62" s="44"/>
      <c r="E62" s="55">
        <f>SUM(E49:E61)</f>
        <v>164</v>
      </c>
      <c r="F62" s="49">
        <f>SUM(F49:F61)</f>
        <v>74388110.096804202</v>
      </c>
      <c r="G62" s="55">
        <v>199</v>
      </c>
      <c r="H62" s="49">
        <f>SUM(H49:H61)</f>
        <v>74331223.259304404</v>
      </c>
      <c r="I62" s="372"/>
      <c r="J62" s="372"/>
    </row>
    <row r="63" spans="1:14" ht="12.95" customHeight="1">
      <c r="A63" s="44"/>
      <c r="B63" s="44"/>
      <c r="C63" s="44"/>
      <c r="D63" s="44"/>
      <c r="E63" s="39"/>
      <c r="F63" s="1094"/>
      <c r="G63" s="39"/>
      <c r="H63" s="1094"/>
      <c r="I63" s="372"/>
      <c r="J63" s="372"/>
    </row>
    <row r="64" spans="1:14" ht="71.099999999999994" customHeight="1">
      <c r="A64" s="1131" t="s">
        <v>464</v>
      </c>
      <c r="B64" s="1131"/>
      <c r="C64" s="1131"/>
      <c r="D64" s="1131"/>
      <c r="E64" s="1131"/>
      <c r="F64" s="1131"/>
      <c r="G64" s="1131"/>
      <c r="H64" s="1131"/>
      <c r="I64" s="44"/>
      <c r="J64" s="132"/>
      <c r="K64" s="132"/>
      <c r="L64" s="44"/>
      <c r="M64" s="44"/>
      <c r="N64" s="44"/>
    </row>
    <row r="65" spans="1:14" ht="4.5" customHeight="1">
      <c r="A65" s="1097"/>
      <c r="B65" s="1097"/>
      <c r="C65" s="1097"/>
      <c r="D65" s="1097"/>
      <c r="E65" s="1097"/>
      <c r="F65" s="1097"/>
      <c r="G65" s="1097"/>
      <c r="H65" s="1097"/>
      <c r="I65" s="44"/>
      <c r="J65" s="44"/>
      <c r="K65" s="44"/>
      <c r="L65" s="44"/>
      <c r="M65" s="44"/>
      <c r="N65" s="44"/>
    </row>
    <row r="66" spans="1:14" ht="2.25" hidden="1" customHeight="1">
      <c r="A66" s="1097"/>
      <c r="B66" s="1097"/>
      <c r="C66" s="1097"/>
      <c r="D66" s="1097"/>
      <c r="E66" s="1097"/>
      <c r="F66" s="1097"/>
      <c r="G66" s="1097"/>
      <c r="H66" s="1097"/>
      <c r="I66" s="44"/>
      <c r="J66" s="44"/>
      <c r="K66" s="44"/>
      <c r="L66" s="44"/>
      <c r="M66" s="44"/>
      <c r="N66" s="44"/>
    </row>
    <row r="67" spans="1:14" ht="32.1" customHeight="1">
      <c r="F67" s="44"/>
      <c r="G67" s="44"/>
      <c r="H67" s="44"/>
    </row>
    <row r="68" spans="1:14" ht="17.25" customHeight="1">
      <c r="A68" s="1128" t="s">
        <v>283</v>
      </c>
      <c r="B68" s="1128"/>
      <c r="C68" s="1128"/>
      <c r="D68" s="1128"/>
      <c r="E68" s="1128"/>
      <c r="F68" s="44"/>
      <c r="G68" s="44"/>
      <c r="H68" s="44"/>
      <c r="I68" s="372"/>
      <c r="K68" s="368"/>
    </row>
    <row r="69" spans="1:14">
      <c r="A69" s="229"/>
      <c r="B69" s="229"/>
      <c r="C69" s="229"/>
      <c r="D69" s="229" t="s">
        <v>465</v>
      </c>
      <c r="E69" s="229"/>
      <c r="F69" s="229"/>
      <c r="G69" s="229"/>
      <c r="H69" s="229"/>
      <c r="I69" s="179"/>
      <c r="K69" s="368"/>
    </row>
    <row r="70" spans="1:14">
      <c r="K70" s="368"/>
    </row>
    <row r="71" spans="1:14">
      <c r="K71" s="368"/>
    </row>
    <row r="74" spans="1:14">
      <c r="C74" t="s">
        <v>466</v>
      </c>
    </row>
    <row r="172" spans="3:3">
      <c r="C172">
        <f>10000</f>
        <v>10000</v>
      </c>
    </row>
  </sheetData>
  <mergeCells count="31">
    <mergeCell ref="A68:E68"/>
    <mergeCell ref="B52:D52"/>
    <mergeCell ref="B53:D53"/>
    <mergeCell ref="B54:D54"/>
    <mergeCell ref="B61:D61"/>
    <mergeCell ref="A64:H64"/>
    <mergeCell ref="A34:G34"/>
    <mergeCell ref="E47:F47"/>
    <mergeCell ref="G47:H47"/>
    <mergeCell ref="B49:D49"/>
    <mergeCell ref="B51:D51"/>
    <mergeCell ref="A29:F29"/>
    <mergeCell ref="A30:F30"/>
    <mergeCell ref="A31:F31"/>
    <mergeCell ref="A32:F32"/>
    <mergeCell ref="A33:F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9"/>
  <sheetViews>
    <sheetView topLeftCell="A49" workbookViewId="0">
      <selection activeCell="N56" sqref="N56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7.7109375" style="1038" customWidth="1"/>
    <col min="5" max="5" width="14.42578125" style="259" customWidth="1"/>
    <col min="6" max="6" width="13.140625" style="259" customWidth="1"/>
    <col min="7" max="7" width="11.140625" style="259" customWidth="1"/>
    <col min="8" max="8" width="14.42578125" style="259" customWidth="1"/>
    <col min="9" max="9" width="5.85546875" style="259" customWidth="1"/>
    <col min="10" max="10" width="13.85546875" style="259" customWidth="1"/>
    <col min="11" max="11" width="14.5703125" style="259" customWidth="1"/>
    <col min="12" max="12" width="18.85546875" style="259" customWidth="1"/>
    <col min="13" max="13" width="9.5703125" style="259" customWidth="1"/>
    <col min="14" max="14" width="15.140625" style="259" customWidth="1"/>
    <col min="15" max="15" width="16.28515625" style="755" customWidth="1"/>
    <col min="16" max="16" width="14.7109375" style="259" customWidth="1"/>
    <col min="17" max="17" width="12.140625" style="259" customWidth="1"/>
    <col min="18" max="18" width="12.7109375" style="259" customWidth="1"/>
    <col min="19" max="19" width="11.42578125" style="259" customWidth="1"/>
    <col min="20" max="20" width="12.140625" style="259" customWidth="1"/>
    <col min="21" max="21" width="8.42578125" style="259" customWidth="1"/>
    <col min="22" max="22" width="11.85546875" style="259" customWidth="1"/>
    <col min="23" max="23" width="11" style="259" customWidth="1"/>
    <col min="24" max="16384" width="9.140625" style="259"/>
  </cols>
  <sheetData>
    <row r="1" spans="1:23" hidden="1">
      <c r="A1" s="1136" t="s">
        <v>0</v>
      </c>
      <c r="B1" s="1136"/>
      <c r="C1" s="1136"/>
      <c r="D1" s="1137"/>
      <c r="E1" s="1136"/>
      <c r="F1" s="1136"/>
      <c r="G1" s="1136"/>
      <c r="H1" s="1136"/>
      <c r="I1" s="1136"/>
      <c r="J1" s="1136"/>
      <c r="K1" s="1136"/>
      <c r="L1" s="1136"/>
      <c r="M1" s="1136"/>
      <c r="N1" s="1136"/>
    </row>
    <row r="2" spans="1:23" hidden="1">
      <c r="A2" s="1138" t="s">
        <v>467</v>
      </c>
      <c r="B2" s="1138"/>
      <c r="C2" s="1138"/>
      <c r="D2" s="1139"/>
      <c r="E2" s="1138"/>
      <c r="F2" s="1138"/>
      <c r="G2" s="1138"/>
      <c r="H2" s="1138"/>
      <c r="I2" s="1138"/>
      <c r="J2" s="1138"/>
      <c r="K2" s="1138"/>
      <c r="L2" s="1138"/>
      <c r="M2" s="1138"/>
      <c r="N2" s="1138"/>
    </row>
    <row r="3" spans="1:23" hidden="1">
      <c r="A3" s="1140" t="s">
        <v>468</v>
      </c>
      <c r="B3" s="1136"/>
      <c r="C3" s="1136"/>
      <c r="D3" s="1137"/>
      <c r="E3" s="1136"/>
      <c r="F3" s="1136"/>
      <c r="G3" s="1136"/>
      <c r="H3" s="1136"/>
      <c r="I3" s="1136"/>
      <c r="J3" s="1136"/>
      <c r="K3" s="1136"/>
      <c r="L3" s="1136"/>
      <c r="M3" s="1136"/>
      <c r="N3" s="1136"/>
    </row>
    <row r="4" spans="1:23" ht="83.25" customHeight="1">
      <c r="A4" s="418" t="s">
        <v>469</v>
      </c>
      <c r="B4" s="419" t="s">
        <v>470</v>
      </c>
      <c r="C4" s="420" t="s">
        <v>21</v>
      </c>
      <c r="D4" s="1039" t="s">
        <v>471</v>
      </c>
      <c r="E4" s="420" t="s">
        <v>472</v>
      </c>
      <c r="F4" s="420" t="s">
        <v>473</v>
      </c>
      <c r="G4" s="420" t="s">
        <v>474</v>
      </c>
      <c r="H4" s="420" t="s">
        <v>475</v>
      </c>
      <c r="I4" s="420" t="s">
        <v>476</v>
      </c>
      <c r="J4" s="420" t="s">
        <v>477</v>
      </c>
      <c r="K4" s="420" t="s">
        <v>478</v>
      </c>
      <c r="L4" s="420" t="s">
        <v>479</v>
      </c>
      <c r="M4" s="420"/>
      <c r="N4" s="1051" t="s">
        <v>480</v>
      </c>
      <c r="O4" s="420" t="s">
        <v>481</v>
      </c>
      <c r="P4" s="434" t="s">
        <v>482</v>
      </c>
    </row>
    <row r="5" spans="1:23" ht="15.75">
      <c r="A5" s="421" t="s">
        <v>22</v>
      </c>
      <c r="B5" s="66" t="s">
        <v>23</v>
      </c>
      <c r="C5" s="422"/>
      <c r="D5" s="1040"/>
      <c r="E5" s="424"/>
      <c r="F5" s="424"/>
      <c r="G5" s="424"/>
      <c r="H5" s="424"/>
      <c r="I5" s="424"/>
      <c r="J5" s="424"/>
      <c r="K5" s="424"/>
      <c r="L5" s="424"/>
      <c r="M5" s="431"/>
      <c r="N5" s="1052"/>
      <c r="O5" s="753"/>
      <c r="P5" s="874"/>
      <c r="Q5" s="436"/>
      <c r="R5" s="436"/>
      <c r="S5" s="436"/>
    </row>
    <row r="6" spans="1:23" ht="31.5">
      <c r="A6" s="421">
        <v>1</v>
      </c>
      <c r="B6" s="597" t="s">
        <v>24</v>
      </c>
      <c r="C6" s="1041">
        <v>2246372.0833333302</v>
      </c>
      <c r="D6" s="1040">
        <v>12</v>
      </c>
      <c r="E6" s="1010">
        <f t="shared" ref="E6:E36" si="0">C6*D6</f>
        <v>26956465</v>
      </c>
      <c r="F6" s="1010"/>
      <c r="G6" s="1010"/>
      <c r="H6" s="1010">
        <v>0</v>
      </c>
      <c r="I6" s="1010"/>
      <c r="J6" s="1010">
        <f>F6+G6+H6</f>
        <v>0</v>
      </c>
      <c r="K6" s="1010">
        <f>E6-J6</f>
        <v>26956465</v>
      </c>
      <c r="L6" s="1010">
        <f>IF(K6&lt;=800000,0,IF(K6&lt;=3000000,(K6-800000)*15%,IF(K6&lt;=12000000,330000+(K6-3000000)*18%,IF(K6&lt;=25000000,1950000+(K6-12000000)*21%,IF(K6&lt;=50000000,4680000+(K6-25000000)*23%,10430000+(K6-50000000)*25%)))))</f>
        <v>5129986.9499999899</v>
      </c>
      <c r="M6" s="431">
        <v>12</v>
      </c>
      <c r="N6" s="1053">
        <f>L6/M6</f>
        <v>427498.91249999899</v>
      </c>
      <c r="O6" s="753">
        <v>427498.91249999899</v>
      </c>
      <c r="P6" s="753">
        <f>N6-O6</f>
        <v>0</v>
      </c>
      <c r="Q6" s="754"/>
      <c r="R6" s="436"/>
      <c r="S6" s="436"/>
      <c r="U6" s="1057"/>
      <c r="V6" s="1057"/>
      <c r="W6" s="436"/>
    </row>
    <row r="7" spans="1:23" ht="15.75">
      <c r="A7" s="421">
        <v>2</v>
      </c>
      <c r="B7" s="597" t="s">
        <v>27</v>
      </c>
      <c r="C7" s="1041">
        <v>1095306.75</v>
      </c>
      <c r="D7" s="1040">
        <v>12</v>
      </c>
      <c r="E7" s="1010">
        <f t="shared" si="0"/>
        <v>13143681</v>
      </c>
      <c r="F7" s="1010"/>
      <c r="G7" s="1010">
        <v>0</v>
      </c>
      <c r="H7" s="1010">
        <v>869094.48</v>
      </c>
      <c r="I7" s="1010"/>
      <c r="J7" s="1010">
        <f t="shared" ref="J7:J70" si="1">F7+G7+H7</f>
        <v>869094.48</v>
      </c>
      <c r="K7" s="1010">
        <f t="shared" ref="K7:K70" si="2">E7-J7</f>
        <v>12274586.52</v>
      </c>
      <c r="L7" s="1010">
        <f t="shared" ref="L7:L70" si="3">IF(K7&lt;=800000,0,IF(K7&lt;=3000000,(K7-800000)*15%,IF(K7&lt;=12000000,330000+(K7-3000000)*18%,IF(K7&lt;=25000000,1950000+(K7-12000000)*21%,IF(K7&lt;=50000000,4680000+(K7-25000000)*23%,10430000+(K7-50000000)*25%)))))</f>
        <v>2007663.1691999999</v>
      </c>
      <c r="M7" s="431">
        <v>12</v>
      </c>
      <c r="N7" s="1053">
        <f t="shared" ref="N7:N70" si="4">L7/M7</f>
        <v>167305.2641</v>
      </c>
      <c r="O7" s="753">
        <v>167305.2641</v>
      </c>
      <c r="P7" s="753">
        <f t="shared" ref="P7:P70" si="5">N7-O7</f>
        <v>0</v>
      </c>
      <c r="Q7" s="754"/>
      <c r="R7" s="1058"/>
      <c r="S7" s="1058"/>
      <c r="T7" s="1059"/>
      <c r="U7" s="1059"/>
      <c r="V7" s="1058"/>
    </row>
    <row r="8" spans="1:23" ht="15.75">
      <c r="A8" s="421">
        <v>3</v>
      </c>
      <c r="B8" s="593" t="s">
        <v>30</v>
      </c>
      <c r="C8" s="1041">
        <v>1295306.75</v>
      </c>
      <c r="D8" s="1040">
        <v>12</v>
      </c>
      <c r="E8" s="1010">
        <f t="shared" si="0"/>
        <v>15543681</v>
      </c>
      <c r="F8" s="1010"/>
      <c r="G8" s="1010">
        <v>0</v>
      </c>
      <c r="H8" s="1010">
        <v>0</v>
      </c>
      <c r="I8" s="1010"/>
      <c r="J8" s="1010">
        <f t="shared" si="1"/>
        <v>0</v>
      </c>
      <c r="K8" s="1010">
        <f t="shared" si="2"/>
        <v>15543681</v>
      </c>
      <c r="L8" s="1010">
        <f t="shared" si="3"/>
        <v>2694173.01</v>
      </c>
      <c r="M8" s="431">
        <v>12</v>
      </c>
      <c r="N8" s="1053">
        <f t="shared" si="4"/>
        <v>224514.41750000001</v>
      </c>
      <c r="O8" s="753">
        <v>224514.41750000001</v>
      </c>
      <c r="P8" s="753">
        <f t="shared" si="5"/>
        <v>0</v>
      </c>
      <c r="Q8" s="754"/>
      <c r="R8" s="1058"/>
      <c r="S8" s="1058"/>
      <c r="T8" s="1059"/>
      <c r="U8" s="1059"/>
      <c r="V8" s="1059"/>
    </row>
    <row r="9" spans="1:23" ht="15.75">
      <c r="A9" s="421">
        <v>4</v>
      </c>
      <c r="B9" s="597" t="s">
        <v>32</v>
      </c>
      <c r="C9" s="1041">
        <v>1085306.75</v>
      </c>
      <c r="D9" s="1040">
        <v>12</v>
      </c>
      <c r="E9" s="1010">
        <f t="shared" si="0"/>
        <v>13023681</v>
      </c>
      <c r="F9" s="1010"/>
      <c r="G9" s="1010">
        <v>166400.85</v>
      </c>
      <c r="H9" s="1010">
        <v>869094.48</v>
      </c>
      <c r="I9" s="1010"/>
      <c r="J9" s="1010">
        <f t="shared" si="1"/>
        <v>1035495.33</v>
      </c>
      <c r="K9" s="1010">
        <f t="shared" si="2"/>
        <v>11988185.67</v>
      </c>
      <c r="L9" s="1010">
        <f t="shared" si="3"/>
        <v>1947873.4206000001</v>
      </c>
      <c r="M9" s="431">
        <v>12</v>
      </c>
      <c r="N9" s="1053">
        <f t="shared" si="4"/>
        <v>162322.78505000001</v>
      </c>
      <c r="O9" s="753">
        <v>162322.78505000001</v>
      </c>
      <c r="P9" s="753">
        <f t="shared" si="5"/>
        <v>0</v>
      </c>
      <c r="Q9" s="754"/>
      <c r="R9" s="1058"/>
      <c r="S9" s="1058"/>
      <c r="T9" s="1059"/>
      <c r="U9" s="1059"/>
      <c r="V9" s="1059"/>
    </row>
    <row r="10" spans="1:23" ht="15.75">
      <c r="A10" s="421">
        <v>5</v>
      </c>
      <c r="B10" s="597" t="s">
        <v>34</v>
      </c>
      <c r="C10" s="715">
        <v>1045306.75</v>
      </c>
      <c r="D10" s="1040">
        <v>12</v>
      </c>
      <c r="E10" s="1010">
        <f t="shared" si="0"/>
        <v>12543681</v>
      </c>
      <c r="F10" s="1010"/>
      <c r="G10" s="1010">
        <v>166400.85</v>
      </c>
      <c r="H10" s="1010">
        <v>869094.48</v>
      </c>
      <c r="I10" s="1010"/>
      <c r="J10" s="1010">
        <f t="shared" si="1"/>
        <v>1035495.33</v>
      </c>
      <c r="K10" s="1010">
        <f t="shared" si="2"/>
        <v>11508185.67</v>
      </c>
      <c r="L10" s="1010">
        <f t="shared" si="3"/>
        <v>1861473.4206000001</v>
      </c>
      <c r="M10" s="431">
        <v>12</v>
      </c>
      <c r="N10" s="1053">
        <f t="shared" si="4"/>
        <v>155122.78505000001</v>
      </c>
      <c r="O10" s="753">
        <v>155122.78505000001</v>
      </c>
      <c r="P10" s="753">
        <f t="shared" si="5"/>
        <v>0</v>
      </c>
      <c r="Q10" s="754"/>
      <c r="R10" s="1058"/>
      <c r="S10" s="1058"/>
      <c r="T10" s="1059"/>
      <c r="U10" s="1059"/>
      <c r="V10" s="1059"/>
    </row>
    <row r="11" spans="1:23" ht="15.75">
      <c r="A11" s="421">
        <v>6</v>
      </c>
      <c r="B11" s="597" t="s">
        <v>37</v>
      </c>
      <c r="C11" s="1041">
        <v>1104477</v>
      </c>
      <c r="D11" s="1040">
        <v>12</v>
      </c>
      <c r="E11" s="1010">
        <f t="shared" si="0"/>
        <v>13253724</v>
      </c>
      <c r="F11" s="1010"/>
      <c r="G11" s="1010">
        <v>137703.15</v>
      </c>
      <c r="H11" s="1010">
        <v>714697.92</v>
      </c>
      <c r="I11" s="1010"/>
      <c r="J11" s="1010">
        <f t="shared" si="1"/>
        <v>852401.07</v>
      </c>
      <c r="K11" s="1010">
        <f t="shared" si="2"/>
        <v>12401322.93</v>
      </c>
      <c r="L11" s="1010">
        <f t="shared" si="3"/>
        <v>2034277.8152999999</v>
      </c>
      <c r="M11" s="431">
        <v>12</v>
      </c>
      <c r="N11" s="1053">
        <f t="shared" si="4"/>
        <v>169523.15127500001</v>
      </c>
      <c r="O11" s="753">
        <v>169523.15127500001</v>
      </c>
      <c r="P11" s="753">
        <f t="shared" si="5"/>
        <v>0</v>
      </c>
      <c r="Q11" s="754"/>
      <c r="R11" s="1058"/>
      <c r="S11" s="1058"/>
      <c r="T11" s="1059"/>
      <c r="U11" s="1059"/>
      <c r="V11" s="1059"/>
    </row>
    <row r="12" spans="1:23" ht="15.75">
      <c r="A12" s="421">
        <v>7</v>
      </c>
      <c r="B12" s="597" t="s">
        <v>40</v>
      </c>
      <c r="C12" s="1041">
        <v>780713.91666666605</v>
      </c>
      <c r="D12" s="1040">
        <v>12</v>
      </c>
      <c r="E12" s="1010">
        <f t="shared" si="0"/>
        <v>9368566.9999999907</v>
      </c>
      <c r="F12" s="1010"/>
      <c r="G12" s="1010">
        <v>0</v>
      </c>
      <c r="H12" s="1010">
        <v>672685.35999999905</v>
      </c>
      <c r="I12" s="1010"/>
      <c r="J12" s="1010">
        <f t="shared" si="1"/>
        <v>672685.35999999905</v>
      </c>
      <c r="K12" s="1010">
        <f t="shared" si="2"/>
        <v>8695881.6399999894</v>
      </c>
      <c r="L12" s="1010">
        <f t="shared" si="3"/>
        <v>1355258.6952</v>
      </c>
      <c r="M12" s="431">
        <v>12</v>
      </c>
      <c r="N12" s="1053">
        <f t="shared" si="4"/>
        <v>112938.2246</v>
      </c>
      <c r="O12" s="753">
        <v>112938.2246</v>
      </c>
      <c r="P12" s="753">
        <f t="shared" si="5"/>
        <v>0</v>
      </c>
      <c r="Q12" s="754"/>
      <c r="R12" s="1058"/>
      <c r="S12" s="1058"/>
      <c r="T12" s="1059"/>
      <c r="U12" s="1059"/>
      <c r="V12" s="1059"/>
    </row>
    <row r="13" spans="1:23" ht="15.75">
      <c r="A13" s="421">
        <v>8</v>
      </c>
      <c r="B13" s="593" t="s">
        <v>43</v>
      </c>
      <c r="C13" s="1041">
        <v>954477</v>
      </c>
      <c r="D13" s="1040">
        <v>12</v>
      </c>
      <c r="E13" s="1010">
        <f t="shared" si="0"/>
        <v>11453724</v>
      </c>
      <c r="F13" s="1010"/>
      <c r="G13" s="1010">
        <v>0</v>
      </c>
      <c r="H13" s="1010">
        <v>714697.92</v>
      </c>
      <c r="I13" s="1010"/>
      <c r="J13" s="1010">
        <f t="shared" si="1"/>
        <v>714697.92</v>
      </c>
      <c r="K13" s="1010">
        <f t="shared" si="2"/>
        <v>10739026.08</v>
      </c>
      <c r="L13" s="1010">
        <f t="shared" si="3"/>
        <v>1723024.6943999999</v>
      </c>
      <c r="M13" s="431">
        <v>12</v>
      </c>
      <c r="N13" s="1053">
        <f t="shared" si="4"/>
        <v>143585.39120000001</v>
      </c>
      <c r="O13" s="753">
        <v>143585.39120000001</v>
      </c>
      <c r="P13" s="753">
        <f t="shared" si="5"/>
        <v>0</v>
      </c>
      <c r="Q13" s="754"/>
      <c r="R13" s="1058"/>
      <c r="S13" s="1058"/>
      <c r="T13" s="1059"/>
      <c r="U13" s="1059"/>
      <c r="V13" s="1059"/>
    </row>
    <row r="14" spans="1:23" ht="15.75">
      <c r="A14" s="421">
        <v>9</v>
      </c>
      <c r="B14" s="597" t="s">
        <v>45</v>
      </c>
      <c r="C14" s="1041">
        <v>963911.08333333395</v>
      </c>
      <c r="D14" s="1040">
        <v>12</v>
      </c>
      <c r="E14" s="1010">
        <f t="shared" si="0"/>
        <v>11566933</v>
      </c>
      <c r="F14" s="1010"/>
      <c r="G14" s="1010">
        <v>107120</v>
      </c>
      <c r="H14" s="1010">
        <v>550954.64000000095</v>
      </c>
      <c r="I14" s="1010"/>
      <c r="J14" s="1010">
        <f t="shared" si="1"/>
        <v>658074.64000000095</v>
      </c>
      <c r="K14" s="1010">
        <f t="shared" si="2"/>
        <v>10908858.359999999</v>
      </c>
      <c r="L14" s="1010">
        <f t="shared" si="3"/>
        <v>1753594.5048</v>
      </c>
      <c r="M14" s="431">
        <v>12</v>
      </c>
      <c r="N14" s="1053">
        <f t="shared" si="4"/>
        <v>146132.87539999999</v>
      </c>
      <c r="O14" s="753">
        <v>146132.87539999999</v>
      </c>
      <c r="P14" s="753">
        <f t="shared" si="5"/>
        <v>0</v>
      </c>
      <c r="Q14" s="754"/>
      <c r="R14" s="436"/>
      <c r="S14" s="436"/>
    </row>
    <row r="15" spans="1:23" ht="15.75">
      <c r="A15" s="421">
        <v>10</v>
      </c>
      <c r="B15" s="597" t="s">
        <v>48</v>
      </c>
      <c r="C15" s="1041">
        <v>852595.5</v>
      </c>
      <c r="D15" s="1040">
        <v>12</v>
      </c>
      <c r="E15" s="1010">
        <f t="shared" si="0"/>
        <v>10231146</v>
      </c>
      <c r="F15" s="1010"/>
      <c r="G15" s="1010">
        <v>0</v>
      </c>
      <c r="H15" s="1035">
        <v>693691.68</v>
      </c>
      <c r="I15" s="1010"/>
      <c r="J15" s="1010">
        <f t="shared" si="1"/>
        <v>693691.68</v>
      </c>
      <c r="K15" s="1010">
        <f t="shared" si="2"/>
        <v>9537454.3200000003</v>
      </c>
      <c r="L15" s="1010">
        <f t="shared" si="3"/>
        <v>1506741.7775999999</v>
      </c>
      <c r="M15" s="431">
        <v>12</v>
      </c>
      <c r="N15" s="1053">
        <f t="shared" si="4"/>
        <v>125561.81479999999</v>
      </c>
      <c r="O15" s="753">
        <v>125561.81479999999</v>
      </c>
      <c r="P15" s="753">
        <f t="shared" si="5"/>
        <v>0</v>
      </c>
      <c r="Q15" s="754"/>
      <c r="R15" s="436"/>
      <c r="S15" s="436"/>
    </row>
    <row r="16" spans="1:23" ht="15.75">
      <c r="A16" s="421">
        <v>11</v>
      </c>
      <c r="B16" s="597" t="s">
        <v>51</v>
      </c>
      <c r="C16" s="1041">
        <v>682419.5</v>
      </c>
      <c r="D16" s="1040">
        <v>12</v>
      </c>
      <c r="E16" s="1010">
        <f t="shared" si="0"/>
        <v>8189034</v>
      </c>
      <c r="F16" s="1010"/>
      <c r="G16" s="1010">
        <v>0</v>
      </c>
      <c r="H16" s="1010">
        <v>520722.72</v>
      </c>
      <c r="I16" s="1010"/>
      <c r="J16" s="1010">
        <f t="shared" si="1"/>
        <v>520722.72</v>
      </c>
      <c r="K16" s="1010">
        <f t="shared" si="2"/>
        <v>7668311.2800000003</v>
      </c>
      <c r="L16" s="1010">
        <f t="shared" si="3"/>
        <v>1170296.0304</v>
      </c>
      <c r="M16" s="431">
        <v>12</v>
      </c>
      <c r="N16" s="1053">
        <f t="shared" si="4"/>
        <v>97524.669200000004</v>
      </c>
      <c r="O16" s="753">
        <v>97524.669200000004</v>
      </c>
      <c r="P16" s="753">
        <f t="shared" si="5"/>
        <v>0</v>
      </c>
      <c r="Q16" s="754"/>
      <c r="R16" s="436"/>
      <c r="S16" s="436"/>
    </row>
    <row r="17" spans="1:19" ht="15.75">
      <c r="A17" s="421">
        <v>12</v>
      </c>
      <c r="B17" s="313" t="s">
        <v>54</v>
      </c>
      <c r="C17" s="1041">
        <v>861351.33333333302</v>
      </c>
      <c r="D17" s="1040">
        <v>12</v>
      </c>
      <c r="E17" s="1010">
        <f t="shared" si="0"/>
        <v>10336216</v>
      </c>
      <c r="F17" s="1010"/>
      <c r="G17" s="1010">
        <v>101319.25</v>
      </c>
      <c r="H17" s="1010">
        <v>519697.28</v>
      </c>
      <c r="I17" s="1010"/>
      <c r="J17" s="1010">
        <f t="shared" si="1"/>
        <v>621016.53</v>
      </c>
      <c r="K17" s="1010">
        <f t="shared" si="2"/>
        <v>9715199.4700000007</v>
      </c>
      <c r="L17" s="1010">
        <f t="shared" si="3"/>
        <v>1538735.9046</v>
      </c>
      <c r="M17" s="431">
        <v>12</v>
      </c>
      <c r="N17" s="1053">
        <f t="shared" si="4"/>
        <v>128227.99205</v>
      </c>
      <c r="O17" s="753">
        <v>128227.99205</v>
      </c>
      <c r="P17" s="753">
        <f t="shared" si="5"/>
        <v>0</v>
      </c>
      <c r="Q17" s="754"/>
      <c r="R17" s="436"/>
      <c r="S17" s="436"/>
    </row>
    <row r="18" spans="1:19" ht="15.75">
      <c r="A18" s="421">
        <v>13</v>
      </c>
      <c r="B18" s="313" t="s">
        <v>57</v>
      </c>
      <c r="C18" s="1041">
        <v>582098.91666666698</v>
      </c>
      <c r="D18" s="1040">
        <v>12</v>
      </c>
      <c r="E18" s="1010">
        <f t="shared" si="0"/>
        <v>6985187</v>
      </c>
      <c r="F18" s="1010"/>
      <c r="G18" s="1010">
        <v>96107.725000000006</v>
      </c>
      <c r="H18" s="1010">
        <v>491614.96</v>
      </c>
      <c r="I18" s="1010"/>
      <c r="J18" s="1010">
        <f t="shared" si="1"/>
        <v>587722.68500000006</v>
      </c>
      <c r="K18" s="1010">
        <f t="shared" si="2"/>
        <v>6397464.3150000004</v>
      </c>
      <c r="L18" s="1010">
        <f t="shared" si="3"/>
        <v>941543.57669999998</v>
      </c>
      <c r="M18" s="431">
        <v>12</v>
      </c>
      <c r="N18" s="1053">
        <f t="shared" si="4"/>
        <v>78461.964724999998</v>
      </c>
      <c r="O18" s="753">
        <v>78461.964724999998</v>
      </c>
      <c r="P18" s="753">
        <f t="shared" si="5"/>
        <v>0</v>
      </c>
      <c r="Q18" s="754"/>
      <c r="R18" s="436"/>
      <c r="S18" s="436"/>
    </row>
    <row r="19" spans="1:19" ht="15.75">
      <c r="A19" s="421">
        <v>14</v>
      </c>
      <c r="B19" s="313" t="s">
        <v>60</v>
      </c>
      <c r="C19" s="1041">
        <v>632098.91666666698</v>
      </c>
      <c r="D19" s="1040">
        <v>12</v>
      </c>
      <c r="E19" s="1010">
        <f t="shared" si="0"/>
        <v>7585187</v>
      </c>
      <c r="F19" s="1010"/>
      <c r="G19" s="1010">
        <v>0</v>
      </c>
      <c r="H19" s="1010">
        <v>491614.96</v>
      </c>
      <c r="I19" s="1010"/>
      <c r="J19" s="1010">
        <f t="shared" si="1"/>
        <v>491614.96</v>
      </c>
      <c r="K19" s="1010">
        <f t="shared" si="2"/>
        <v>7093572.04</v>
      </c>
      <c r="L19" s="1010">
        <f t="shared" si="3"/>
        <v>1066842.9672000001</v>
      </c>
      <c r="M19" s="431">
        <v>12</v>
      </c>
      <c r="N19" s="1053">
        <f t="shared" si="4"/>
        <v>88903.580600000001</v>
      </c>
      <c r="O19" s="753">
        <v>88903.580600000001</v>
      </c>
      <c r="P19" s="753">
        <f t="shared" si="5"/>
        <v>0</v>
      </c>
      <c r="Q19" s="754"/>
      <c r="R19" s="436"/>
      <c r="S19" s="436"/>
    </row>
    <row r="20" spans="1:19" ht="15.75">
      <c r="A20" s="421">
        <v>15</v>
      </c>
      <c r="B20" s="597" t="s">
        <v>62</v>
      </c>
      <c r="C20" s="1041">
        <v>817472.75</v>
      </c>
      <c r="D20" s="1040">
        <v>12</v>
      </c>
      <c r="E20" s="1010">
        <f t="shared" si="0"/>
        <v>9809673</v>
      </c>
      <c r="F20" s="1010"/>
      <c r="G20" s="1010">
        <v>93501.975000000006</v>
      </c>
      <c r="H20" s="1010">
        <v>477573.84</v>
      </c>
      <c r="I20" s="1010"/>
      <c r="J20" s="1010">
        <f t="shared" si="1"/>
        <v>571075.81499999994</v>
      </c>
      <c r="K20" s="1010">
        <f t="shared" si="2"/>
        <v>9238597.1850000005</v>
      </c>
      <c r="L20" s="1010">
        <f t="shared" si="3"/>
        <v>1452947.4933</v>
      </c>
      <c r="M20" s="431">
        <v>12</v>
      </c>
      <c r="N20" s="1053">
        <f t="shared" si="4"/>
        <v>121078.957775</v>
      </c>
      <c r="O20" s="753">
        <v>121078.957775</v>
      </c>
      <c r="P20" s="753">
        <f t="shared" si="5"/>
        <v>0</v>
      </c>
      <c r="Q20" s="754"/>
      <c r="R20" s="436"/>
      <c r="S20" s="436"/>
    </row>
    <row r="21" spans="1:19" ht="15.75">
      <c r="A21" s="421">
        <v>16</v>
      </c>
      <c r="B21" s="597" t="s">
        <v>65</v>
      </c>
      <c r="C21" s="1041">
        <v>702846.58333333302</v>
      </c>
      <c r="D21" s="1040">
        <v>12</v>
      </c>
      <c r="E21" s="1010">
        <f t="shared" si="0"/>
        <v>8434159</v>
      </c>
      <c r="F21" s="1010"/>
      <c r="G21" s="1010">
        <v>90896.225000000093</v>
      </c>
      <c r="H21" s="1010">
        <v>463532.72</v>
      </c>
      <c r="I21" s="1010"/>
      <c r="J21" s="1010">
        <f t="shared" si="1"/>
        <v>554428.94499999995</v>
      </c>
      <c r="K21" s="1010">
        <f t="shared" si="2"/>
        <v>7879730.0549999997</v>
      </c>
      <c r="L21" s="1010">
        <f t="shared" si="3"/>
        <v>1208351.4099000001</v>
      </c>
      <c r="M21" s="431">
        <v>12</v>
      </c>
      <c r="N21" s="1053">
        <f t="shared" si="4"/>
        <v>100695.95082500001</v>
      </c>
      <c r="O21" s="753">
        <v>100695.95082500001</v>
      </c>
      <c r="P21" s="753">
        <f t="shared" si="5"/>
        <v>0</v>
      </c>
      <c r="Q21" s="754"/>
      <c r="R21" s="436"/>
      <c r="S21" s="436"/>
    </row>
    <row r="22" spans="1:19" ht="15.75">
      <c r="A22" s="421">
        <v>17</v>
      </c>
      <c r="B22" s="593" t="s">
        <v>68</v>
      </c>
      <c r="C22" s="1041">
        <v>768828.16666666698</v>
      </c>
      <c r="D22" s="1040">
        <v>12</v>
      </c>
      <c r="E22" s="1010">
        <f t="shared" si="0"/>
        <v>9225938</v>
      </c>
      <c r="F22" s="1010"/>
      <c r="G22" s="1010">
        <v>0</v>
      </c>
      <c r="H22" s="1010">
        <v>450075.04</v>
      </c>
      <c r="I22" s="1010"/>
      <c r="J22" s="1010">
        <f t="shared" si="1"/>
        <v>450075.04</v>
      </c>
      <c r="K22" s="1010">
        <f t="shared" si="2"/>
        <v>8775862.9600000009</v>
      </c>
      <c r="L22" s="1010">
        <f t="shared" si="3"/>
        <v>1369655.3328</v>
      </c>
      <c r="M22" s="431">
        <v>12</v>
      </c>
      <c r="N22" s="1053">
        <f t="shared" si="4"/>
        <v>114137.94439999999</v>
      </c>
      <c r="O22" s="753">
        <v>114137.94439999999</v>
      </c>
      <c r="P22" s="753">
        <f t="shared" si="5"/>
        <v>0</v>
      </c>
      <c r="Q22" s="754"/>
      <c r="R22" s="436"/>
      <c r="S22" s="436"/>
    </row>
    <row r="23" spans="1:19" s="870" customFormat="1" ht="15.75">
      <c r="A23" s="1042">
        <v>18</v>
      </c>
      <c r="B23" s="1043" t="s">
        <v>71</v>
      </c>
      <c r="C23" s="1044">
        <v>578828.16666666698</v>
      </c>
      <c r="D23" s="1045">
        <v>12</v>
      </c>
      <c r="E23" s="1046">
        <f t="shared" si="0"/>
        <v>6945938</v>
      </c>
      <c r="F23" s="1046">
        <v>200000</v>
      </c>
      <c r="G23" s="1046">
        <v>88398.875000000102</v>
      </c>
      <c r="H23" s="1046">
        <v>450075.04</v>
      </c>
      <c r="I23" s="1046"/>
      <c r="J23" s="1046">
        <f t="shared" si="1"/>
        <v>738473.91500000004</v>
      </c>
      <c r="K23" s="1046">
        <f t="shared" si="2"/>
        <v>6207464.085</v>
      </c>
      <c r="L23" s="1046">
        <f t="shared" si="3"/>
        <v>907343.53529999999</v>
      </c>
      <c r="M23" s="1054">
        <v>12</v>
      </c>
      <c r="N23" s="1046">
        <f t="shared" si="4"/>
        <v>75611.961274999994</v>
      </c>
      <c r="O23" s="1055">
        <v>78611.961274999994</v>
      </c>
      <c r="P23" s="1055">
        <f t="shared" si="5"/>
        <v>-3000</v>
      </c>
      <c r="Q23" s="1060"/>
      <c r="R23" s="1061"/>
      <c r="S23" s="1061"/>
    </row>
    <row r="24" spans="1:19" ht="15.75">
      <c r="A24" s="421">
        <v>19</v>
      </c>
      <c r="B24" s="593" t="s">
        <v>73</v>
      </c>
      <c r="C24" s="1041">
        <v>641140.66666666605</v>
      </c>
      <c r="D24" s="1040">
        <v>12</v>
      </c>
      <c r="E24" s="1010">
        <f t="shared" si="0"/>
        <v>7693687.9999999898</v>
      </c>
      <c r="F24" s="1010"/>
      <c r="G24" s="1010">
        <v>0</v>
      </c>
      <c r="H24" s="1010">
        <v>365895.03999999899</v>
      </c>
      <c r="I24" s="1010"/>
      <c r="J24" s="1010">
        <f t="shared" si="1"/>
        <v>365895.03999999899</v>
      </c>
      <c r="K24" s="1010">
        <f t="shared" si="2"/>
        <v>7327792.9599999897</v>
      </c>
      <c r="L24" s="1010">
        <f t="shared" si="3"/>
        <v>1109002.7328000001</v>
      </c>
      <c r="M24" s="431">
        <v>12</v>
      </c>
      <c r="N24" s="1053">
        <f t="shared" si="4"/>
        <v>92416.894399999903</v>
      </c>
      <c r="O24" s="753">
        <v>92416.894399999903</v>
      </c>
      <c r="P24" s="753">
        <f t="shared" si="5"/>
        <v>0</v>
      </c>
      <c r="Q24" s="754"/>
      <c r="R24" s="436"/>
      <c r="S24" s="436"/>
    </row>
    <row r="25" spans="1:19" ht="15.75">
      <c r="A25" s="421">
        <v>20</v>
      </c>
      <c r="B25" s="593" t="s">
        <v>76</v>
      </c>
      <c r="C25" s="1041">
        <v>450135.83333333401</v>
      </c>
      <c r="D25" s="1040">
        <v>12</v>
      </c>
      <c r="E25" s="1010">
        <f t="shared" si="0"/>
        <v>5401630.0000000102</v>
      </c>
      <c r="F25" s="1010"/>
      <c r="G25" s="1010">
        <v>73851.350000000093</v>
      </c>
      <c r="H25" s="1010">
        <v>374530.40000000101</v>
      </c>
      <c r="I25" s="1010"/>
      <c r="J25" s="1010">
        <f t="shared" si="1"/>
        <v>448381.75000000099</v>
      </c>
      <c r="K25" s="1010">
        <f t="shared" si="2"/>
        <v>4953248.2500000102</v>
      </c>
      <c r="L25" s="1010">
        <f t="shared" si="3"/>
        <v>681584.68500000203</v>
      </c>
      <c r="M25" s="431">
        <v>12</v>
      </c>
      <c r="N25" s="1053">
        <f t="shared" si="4"/>
        <v>56798.723750000099</v>
      </c>
      <c r="O25" s="753">
        <v>56798.723750000099</v>
      </c>
      <c r="P25" s="753">
        <f t="shared" si="5"/>
        <v>0</v>
      </c>
      <c r="Q25" s="754"/>
      <c r="R25" s="436"/>
      <c r="S25" s="436"/>
    </row>
    <row r="26" spans="1:19" ht="15.75">
      <c r="A26" s="421">
        <v>21</v>
      </c>
      <c r="B26" s="71" t="s">
        <v>483</v>
      </c>
      <c r="C26" s="1041">
        <v>0</v>
      </c>
      <c r="D26" s="1040">
        <v>12</v>
      </c>
      <c r="E26" s="1010">
        <f t="shared" si="0"/>
        <v>0</v>
      </c>
      <c r="F26" s="1010"/>
      <c r="G26" s="1010">
        <v>0</v>
      </c>
      <c r="H26" s="1010">
        <v>0</v>
      </c>
      <c r="I26" s="1010"/>
      <c r="J26" s="1010">
        <f t="shared" si="1"/>
        <v>0</v>
      </c>
      <c r="K26" s="1010">
        <f t="shared" si="2"/>
        <v>0</v>
      </c>
      <c r="L26" s="1010">
        <f t="shared" si="3"/>
        <v>0</v>
      </c>
      <c r="M26" s="431">
        <v>12</v>
      </c>
      <c r="N26" s="1053">
        <f t="shared" si="4"/>
        <v>0</v>
      </c>
      <c r="O26" s="753">
        <v>0</v>
      </c>
      <c r="P26" s="753">
        <f t="shared" si="5"/>
        <v>0</v>
      </c>
      <c r="Q26" s="754"/>
      <c r="R26" s="436"/>
      <c r="S26" s="436"/>
    </row>
    <row r="27" spans="1:19" ht="15.75">
      <c r="A27" s="421">
        <v>22</v>
      </c>
      <c r="B27" s="313" t="s">
        <v>79</v>
      </c>
      <c r="C27" s="1041">
        <v>432145.33333333302</v>
      </c>
      <c r="D27" s="1040">
        <v>12</v>
      </c>
      <c r="E27" s="1010">
        <f t="shared" si="0"/>
        <v>5185744</v>
      </c>
      <c r="F27" s="1010"/>
      <c r="G27" s="1010">
        <v>70673.350000000006</v>
      </c>
      <c r="H27" s="1010">
        <v>357259.52000000002</v>
      </c>
      <c r="I27" s="1010"/>
      <c r="J27" s="1010">
        <f t="shared" si="1"/>
        <v>427932.87</v>
      </c>
      <c r="K27" s="1010">
        <f t="shared" si="2"/>
        <v>4757811.13</v>
      </c>
      <c r="L27" s="1010">
        <f t="shared" si="3"/>
        <v>646406.00340000005</v>
      </c>
      <c r="M27" s="431">
        <v>12</v>
      </c>
      <c r="N27" s="1053">
        <f t="shared" si="4"/>
        <v>53867.166949999999</v>
      </c>
      <c r="O27" s="753">
        <v>53867.166949999999</v>
      </c>
      <c r="P27" s="753">
        <f t="shared" si="5"/>
        <v>0</v>
      </c>
      <c r="Q27" s="754"/>
      <c r="R27" s="436"/>
      <c r="S27" s="436"/>
    </row>
    <row r="28" spans="1:19" s="870" customFormat="1" ht="15.75">
      <c r="A28" s="1042">
        <v>23</v>
      </c>
      <c r="B28" s="1043" t="s">
        <v>82</v>
      </c>
      <c r="C28" s="1044">
        <v>491140.66666666599</v>
      </c>
      <c r="D28" s="1045">
        <v>12</v>
      </c>
      <c r="E28" s="1046">
        <f t="shared" si="0"/>
        <v>5893687.9999999898</v>
      </c>
      <c r="F28" s="1046">
        <v>300000</v>
      </c>
      <c r="G28" s="1046">
        <v>72262.374999999898</v>
      </c>
      <c r="H28" s="1046">
        <v>365895.03999999899</v>
      </c>
      <c r="I28" s="1046"/>
      <c r="J28" s="1046">
        <f t="shared" si="1"/>
        <v>738157.41499999899</v>
      </c>
      <c r="K28" s="1046">
        <f t="shared" si="2"/>
        <v>5155530.5849999897</v>
      </c>
      <c r="L28" s="1046">
        <f t="shared" si="3"/>
        <v>717995.50529999798</v>
      </c>
      <c r="M28" s="1054">
        <v>12</v>
      </c>
      <c r="N28" s="1046">
        <f t="shared" si="4"/>
        <v>59832.958774999897</v>
      </c>
      <c r="O28" s="1055">
        <v>64332.958774999897</v>
      </c>
      <c r="P28" s="1055">
        <f t="shared" si="5"/>
        <v>-4499.99999999999</v>
      </c>
      <c r="Q28" s="1060"/>
      <c r="R28" s="1061"/>
      <c r="S28" s="1061"/>
    </row>
    <row r="29" spans="1:19" ht="15.75">
      <c r="A29" s="421">
        <v>24</v>
      </c>
      <c r="B29" s="313" t="s">
        <v>84</v>
      </c>
      <c r="C29" s="1041">
        <v>415320.66666666698</v>
      </c>
      <c r="D29" s="1040">
        <v>12</v>
      </c>
      <c r="E29" s="1010">
        <f t="shared" si="0"/>
        <v>4983848</v>
      </c>
      <c r="F29" s="1010"/>
      <c r="G29" s="1010">
        <v>0</v>
      </c>
      <c r="H29" s="1010">
        <v>341107.84</v>
      </c>
      <c r="I29" s="1010"/>
      <c r="J29" s="1010">
        <f t="shared" si="1"/>
        <v>341107.84</v>
      </c>
      <c r="K29" s="1010">
        <f t="shared" si="2"/>
        <v>4642740.16</v>
      </c>
      <c r="L29" s="1010">
        <f t="shared" si="3"/>
        <v>625693.22880000004</v>
      </c>
      <c r="M29" s="431">
        <v>12</v>
      </c>
      <c r="N29" s="1053">
        <f t="shared" si="4"/>
        <v>52141.102400000003</v>
      </c>
      <c r="O29" s="753">
        <v>52141.102400000003</v>
      </c>
      <c r="P29" s="753">
        <f t="shared" si="5"/>
        <v>0</v>
      </c>
      <c r="Q29" s="754"/>
      <c r="R29" s="436"/>
      <c r="S29" s="436"/>
    </row>
    <row r="30" spans="1:19" ht="15.75">
      <c r="A30" s="421">
        <v>25</v>
      </c>
      <c r="B30" s="313" t="s">
        <v>87</v>
      </c>
      <c r="C30" s="1041">
        <v>407016.16666666599</v>
      </c>
      <c r="D30" s="1040">
        <v>12</v>
      </c>
      <c r="E30" s="1010">
        <f t="shared" si="0"/>
        <v>4884193.9999999898</v>
      </c>
      <c r="F30" s="1010"/>
      <c r="G30" s="1010">
        <v>0</v>
      </c>
      <c r="H30" s="1010">
        <v>333135.51999999903</v>
      </c>
      <c r="I30" s="1010"/>
      <c r="J30" s="1010">
        <f t="shared" si="1"/>
        <v>333135.51999999903</v>
      </c>
      <c r="K30" s="1010">
        <f t="shared" si="2"/>
        <v>4551058.4799999902</v>
      </c>
      <c r="L30" s="1010">
        <f t="shared" si="3"/>
        <v>609190.52639999799</v>
      </c>
      <c r="M30" s="431">
        <v>12</v>
      </c>
      <c r="N30" s="1053">
        <f t="shared" si="4"/>
        <v>50765.877199999901</v>
      </c>
      <c r="O30" s="753">
        <v>50765.877199999901</v>
      </c>
      <c r="P30" s="753">
        <f t="shared" si="5"/>
        <v>0</v>
      </c>
      <c r="Q30" s="754"/>
      <c r="R30" s="436"/>
      <c r="S30" s="436"/>
    </row>
    <row r="31" spans="1:19" ht="31.5">
      <c r="A31" s="421">
        <v>26</v>
      </c>
      <c r="B31" s="313" t="s">
        <v>89</v>
      </c>
      <c r="C31" s="1041">
        <v>432145.33333333302</v>
      </c>
      <c r="D31" s="1040">
        <v>12</v>
      </c>
      <c r="E31" s="1010">
        <f t="shared" si="0"/>
        <v>5185744</v>
      </c>
      <c r="F31" s="1010"/>
      <c r="G31" s="1010">
        <v>70673.350000000006</v>
      </c>
      <c r="H31" s="1035">
        <v>357259.52000000002</v>
      </c>
      <c r="I31" s="1010"/>
      <c r="J31" s="1010">
        <f t="shared" si="1"/>
        <v>427932.87</v>
      </c>
      <c r="K31" s="1010">
        <f t="shared" si="2"/>
        <v>4757811.13</v>
      </c>
      <c r="L31" s="1010">
        <f t="shared" si="3"/>
        <v>646406.00340000005</v>
      </c>
      <c r="M31" s="431">
        <v>12</v>
      </c>
      <c r="N31" s="1053">
        <f t="shared" si="4"/>
        <v>53867.166949999999</v>
      </c>
      <c r="O31" s="753">
        <v>53867.166949999999</v>
      </c>
      <c r="P31" s="753">
        <f t="shared" si="5"/>
        <v>0</v>
      </c>
      <c r="Q31" s="754"/>
      <c r="R31" s="436"/>
      <c r="S31" s="436"/>
    </row>
    <row r="32" spans="1:19" ht="15.75">
      <c r="A32" s="421">
        <v>27</v>
      </c>
      <c r="B32" s="313" t="s">
        <v>91</v>
      </c>
      <c r="C32" s="1041">
        <v>432145.33333333302</v>
      </c>
      <c r="D32" s="1040">
        <v>12</v>
      </c>
      <c r="E32" s="1010">
        <f t="shared" si="0"/>
        <v>5185744</v>
      </c>
      <c r="F32" s="1010"/>
      <c r="G32" s="1010">
        <v>70673.350000000006</v>
      </c>
      <c r="H32" s="1035">
        <v>357259.52000000002</v>
      </c>
      <c r="I32" s="1010"/>
      <c r="J32" s="1010">
        <f t="shared" si="1"/>
        <v>427932.87</v>
      </c>
      <c r="K32" s="1010">
        <f t="shared" si="2"/>
        <v>4757811.13</v>
      </c>
      <c r="L32" s="1010">
        <f t="shared" si="3"/>
        <v>646406.00340000005</v>
      </c>
      <c r="M32" s="431">
        <v>12</v>
      </c>
      <c r="N32" s="1053">
        <f t="shared" si="4"/>
        <v>53867.166949999999</v>
      </c>
      <c r="O32" s="753">
        <v>53867.166949999999</v>
      </c>
      <c r="P32" s="753">
        <f t="shared" si="5"/>
        <v>0</v>
      </c>
      <c r="Q32" s="754"/>
      <c r="R32" s="436"/>
      <c r="S32" s="436"/>
    </row>
    <row r="33" spans="1:19" ht="31.5">
      <c r="A33" s="421">
        <v>28</v>
      </c>
      <c r="B33" s="313" t="s">
        <v>93</v>
      </c>
      <c r="C33" s="1010">
        <v>407016.16666666599</v>
      </c>
      <c r="D33" s="1040">
        <v>12</v>
      </c>
      <c r="E33" s="1010">
        <f t="shared" si="0"/>
        <v>4884193.9999999898</v>
      </c>
      <c r="F33" s="1010"/>
      <c r="G33" s="1010">
        <v>0</v>
      </c>
      <c r="H33" s="1035">
        <v>333135.51999999903</v>
      </c>
      <c r="I33" s="1010"/>
      <c r="J33" s="1010">
        <f t="shared" si="1"/>
        <v>333135.51999999903</v>
      </c>
      <c r="K33" s="1010">
        <f t="shared" si="2"/>
        <v>4551058.4799999902</v>
      </c>
      <c r="L33" s="1010">
        <f t="shared" si="3"/>
        <v>609190.52639999799</v>
      </c>
      <c r="M33" s="431">
        <v>12</v>
      </c>
      <c r="N33" s="1053">
        <f t="shared" si="4"/>
        <v>50765.877199999901</v>
      </c>
      <c r="O33" s="753">
        <v>50765.877199999901</v>
      </c>
      <c r="P33" s="753">
        <f t="shared" si="5"/>
        <v>0</v>
      </c>
      <c r="Q33" s="754"/>
      <c r="R33" s="436"/>
      <c r="S33" s="436"/>
    </row>
    <row r="34" spans="1:19" ht="15.75">
      <c r="A34" s="421">
        <v>29</v>
      </c>
      <c r="B34" s="313" t="s">
        <v>95</v>
      </c>
      <c r="C34" s="1010">
        <v>432145.33333333302</v>
      </c>
      <c r="D34" s="1040">
        <v>12</v>
      </c>
      <c r="E34" s="1010">
        <f t="shared" si="0"/>
        <v>5185744</v>
      </c>
      <c r="F34" s="1010"/>
      <c r="G34" s="1010">
        <v>0</v>
      </c>
      <c r="H34" s="1035">
        <v>357259.52000000002</v>
      </c>
      <c r="I34" s="1010"/>
      <c r="J34" s="1010">
        <f t="shared" si="1"/>
        <v>357259.52000000002</v>
      </c>
      <c r="K34" s="1010">
        <f t="shared" si="2"/>
        <v>4828484.4800000004</v>
      </c>
      <c r="L34" s="1010">
        <f t="shared" si="3"/>
        <v>659127.20640000002</v>
      </c>
      <c r="M34" s="431">
        <v>12</v>
      </c>
      <c r="N34" s="1053">
        <f t="shared" si="4"/>
        <v>54927.267200000002</v>
      </c>
      <c r="O34" s="753">
        <v>54927.267200000002</v>
      </c>
      <c r="P34" s="753">
        <f t="shared" si="5"/>
        <v>0</v>
      </c>
      <c r="Q34" s="754"/>
      <c r="R34" s="436"/>
      <c r="S34" s="436"/>
    </row>
    <row r="35" spans="1:19" s="870" customFormat="1" ht="15.75">
      <c r="A35" s="1042">
        <v>30</v>
      </c>
      <c r="B35" s="1047" t="s">
        <v>97</v>
      </c>
      <c r="C35" s="1046">
        <v>398711.66666666698</v>
      </c>
      <c r="D35" s="1045">
        <v>12</v>
      </c>
      <c r="E35" s="1046">
        <f t="shared" si="0"/>
        <v>4784540</v>
      </c>
      <c r="F35" s="1046">
        <v>200000</v>
      </c>
      <c r="G35" s="1046">
        <v>65320.025000000103</v>
      </c>
      <c r="H35" s="1048">
        <v>325163.2</v>
      </c>
      <c r="I35" s="1046"/>
      <c r="J35" s="1046">
        <f t="shared" si="1"/>
        <v>590483.22499999998</v>
      </c>
      <c r="K35" s="1046">
        <f t="shared" si="2"/>
        <v>4194056.7749999999</v>
      </c>
      <c r="L35" s="1046">
        <f t="shared" si="3"/>
        <v>544930.21950000001</v>
      </c>
      <c r="M35" s="1054">
        <v>12</v>
      </c>
      <c r="N35" s="1046">
        <f t="shared" si="4"/>
        <v>45410.851625000003</v>
      </c>
      <c r="O35" s="1046">
        <v>48410.851625000003</v>
      </c>
      <c r="P35" s="1055">
        <f t="shared" si="5"/>
        <v>-3000.00000000001</v>
      </c>
      <c r="Q35" s="1060"/>
      <c r="R35" s="1061"/>
      <c r="S35" s="1061"/>
    </row>
    <row r="36" spans="1:19" ht="15.75">
      <c r="A36" s="421">
        <v>31</v>
      </c>
      <c r="B36" s="313" t="s">
        <v>100</v>
      </c>
      <c r="C36" s="1010">
        <v>398711.66666666698</v>
      </c>
      <c r="D36" s="1040">
        <v>12</v>
      </c>
      <c r="E36" s="1010">
        <f t="shared" si="0"/>
        <v>4784540</v>
      </c>
      <c r="F36" s="1010"/>
      <c r="G36" s="1010">
        <v>65320.025000000103</v>
      </c>
      <c r="H36" s="1035">
        <v>325163.2</v>
      </c>
      <c r="I36" s="1010"/>
      <c r="J36" s="1010">
        <f t="shared" si="1"/>
        <v>390483.22499999998</v>
      </c>
      <c r="K36" s="1010">
        <f t="shared" si="2"/>
        <v>4394056.7750000004</v>
      </c>
      <c r="L36" s="1010">
        <f t="shared" si="3"/>
        <v>580930.21950000001</v>
      </c>
      <c r="M36" s="431">
        <v>12</v>
      </c>
      <c r="N36" s="1053">
        <f t="shared" si="4"/>
        <v>48410.851625000003</v>
      </c>
      <c r="O36" s="753">
        <v>48410.851625000003</v>
      </c>
      <c r="P36" s="753">
        <f t="shared" si="5"/>
        <v>0</v>
      </c>
      <c r="Q36" s="754"/>
      <c r="R36" s="436"/>
      <c r="S36" s="436"/>
    </row>
    <row r="37" spans="1:19" ht="15.75">
      <c r="A37" s="421">
        <v>32</v>
      </c>
      <c r="B37" s="313" t="s">
        <v>101</v>
      </c>
      <c r="C37" s="1010">
        <v>398711.66666666698</v>
      </c>
      <c r="D37" s="1040">
        <v>12</v>
      </c>
      <c r="E37" s="1010">
        <f t="shared" ref="E37:E100" si="6">C37*D37</f>
        <v>4784540</v>
      </c>
      <c r="F37" s="1010"/>
      <c r="G37" s="1010">
        <v>0</v>
      </c>
      <c r="H37" s="1035">
        <v>325163.2</v>
      </c>
      <c r="I37" s="1010"/>
      <c r="J37" s="1010">
        <f t="shared" si="1"/>
        <v>325163.2</v>
      </c>
      <c r="K37" s="1010">
        <f t="shared" si="2"/>
        <v>4459376.8</v>
      </c>
      <c r="L37" s="1010">
        <f t="shared" si="3"/>
        <v>592687.82400000095</v>
      </c>
      <c r="M37" s="431">
        <v>12</v>
      </c>
      <c r="N37" s="1053">
        <f t="shared" si="4"/>
        <v>49390.652000000096</v>
      </c>
      <c r="O37" s="753">
        <v>49390.652000000096</v>
      </c>
      <c r="P37" s="753">
        <f t="shared" si="5"/>
        <v>0</v>
      </c>
      <c r="Q37" s="754"/>
      <c r="R37" s="436"/>
      <c r="S37" s="436"/>
    </row>
    <row r="38" spans="1:19" ht="31.5">
      <c r="A38" s="421">
        <v>33</v>
      </c>
      <c r="B38" s="313" t="s">
        <v>102</v>
      </c>
      <c r="C38" s="1010">
        <v>398711.66666666698</v>
      </c>
      <c r="D38" s="1040">
        <v>12</v>
      </c>
      <c r="E38" s="1010">
        <f t="shared" si="6"/>
        <v>4784540</v>
      </c>
      <c r="F38" s="1010"/>
      <c r="G38" s="1010">
        <v>65320.025000000103</v>
      </c>
      <c r="H38" s="1035">
        <v>325163.2</v>
      </c>
      <c r="I38" s="1010"/>
      <c r="J38" s="1010">
        <f t="shared" si="1"/>
        <v>390483.22499999998</v>
      </c>
      <c r="K38" s="1010">
        <f t="shared" si="2"/>
        <v>4394056.7750000004</v>
      </c>
      <c r="L38" s="1010">
        <f t="shared" si="3"/>
        <v>580930.21950000105</v>
      </c>
      <c r="M38" s="431">
        <v>12</v>
      </c>
      <c r="N38" s="1053">
        <f t="shared" si="4"/>
        <v>48410.851625000098</v>
      </c>
      <c r="O38" s="753">
        <v>48410.851625000098</v>
      </c>
      <c r="P38" s="753">
        <f t="shared" si="5"/>
        <v>0</v>
      </c>
      <c r="Q38" s="754"/>
      <c r="R38" s="436"/>
      <c r="S38" s="436"/>
    </row>
    <row r="39" spans="1:19" ht="15.75">
      <c r="A39" s="421">
        <v>34</v>
      </c>
      <c r="B39" s="313" t="s">
        <v>103</v>
      </c>
      <c r="C39" s="1010">
        <v>358920.66666666698</v>
      </c>
      <c r="D39" s="1040">
        <v>12</v>
      </c>
      <c r="E39" s="1010">
        <f t="shared" si="6"/>
        <v>4307048</v>
      </c>
      <c r="F39" s="1010"/>
      <c r="G39" s="1010">
        <v>60164.825000000099</v>
      </c>
      <c r="H39" s="1035">
        <v>296563.84000000003</v>
      </c>
      <c r="I39" s="1010"/>
      <c r="J39" s="1010">
        <f t="shared" si="1"/>
        <v>356728.66499999998</v>
      </c>
      <c r="K39" s="1010">
        <f t="shared" si="2"/>
        <v>3950319.335</v>
      </c>
      <c r="L39" s="1010">
        <f t="shared" si="3"/>
        <v>501057.48030000099</v>
      </c>
      <c r="M39" s="431">
        <v>12</v>
      </c>
      <c r="N39" s="1053">
        <f t="shared" si="4"/>
        <v>41754.790025000097</v>
      </c>
      <c r="O39" s="753">
        <v>41754.790025000097</v>
      </c>
      <c r="P39" s="753">
        <f t="shared" si="5"/>
        <v>0</v>
      </c>
      <c r="Q39" s="754"/>
      <c r="R39" s="436"/>
      <c r="S39" s="436"/>
    </row>
    <row r="40" spans="1:19" ht="31.5">
      <c r="A40" s="421">
        <v>35</v>
      </c>
      <c r="B40" s="313" t="s">
        <v>106</v>
      </c>
      <c r="C40" s="1010">
        <v>351910.75</v>
      </c>
      <c r="D40" s="1040">
        <v>12</v>
      </c>
      <c r="E40" s="1010">
        <f t="shared" si="6"/>
        <v>4222929</v>
      </c>
      <c r="F40" s="1010"/>
      <c r="G40" s="1010">
        <v>58909.325000000099</v>
      </c>
      <c r="H40" s="1035">
        <v>289834.32</v>
      </c>
      <c r="I40" s="1010"/>
      <c r="J40" s="1010">
        <f t="shared" si="1"/>
        <v>348743.64500000002</v>
      </c>
      <c r="K40" s="1010">
        <f t="shared" si="2"/>
        <v>3874185.355</v>
      </c>
      <c r="L40" s="1010">
        <f t="shared" si="3"/>
        <v>487353.3639</v>
      </c>
      <c r="M40" s="431">
        <v>12</v>
      </c>
      <c r="N40" s="1053">
        <f t="shared" si="4"/>
        <v>40612.780325</v>
      </c>
      <c r="O40" s="753">
        <v>40612.780325</v>
      </c>
      <c r="P40" s="753">
        <f t="shared" si="5"/>
        <v>0</v>
      </c>
      <c r="Q40" s="754"/>
      <c r="R40" s="436"/>
      <c r="S40" s="436"/>
    </row>
    <row r="41" spans="1:19" ht="15.75">
      <c r="A41" s="421">
        <v>36</v>
      </c>
      <c r="B41" s="313" t="s">
        <v>109</v>
      </c>
      <c r="C41" s="1010">
        <v>344900.83333333401</v>
      </c>
      <c r="D41" s="1040">
        <v>12</v>
      </c>
      <c r="E41" s="1010">
        <f t="shared" si="6"/>
        <v>4138810.0000000098</v>
      </c>
      <c r="F41" s="1010"/>
      <c r="G41" s="1010">
        <v>57653.825000000099</v>
      </c>
      <c r="H41" s="1035">
        <v>283104.80000000098</v>
      </c>
      <c r="I41" s="1010"/>
      <c r="J41" s="1010">
        <f t="shared" si="1"/>
        <v>340758.62500000099</v>
      </c>
      <c r="K41" s="1010">
        <f t="shared" si="2"/>
        <v>3798051.3750000098</v>
      </c>
      <c r="L41" s="1010">
        <f t="shared" si="3"/>
        <v>473649.24750000099</v>
      </c>
      <c r="M41" s="431">
        <v>12</v>
      </c>
      <c r="N41" s="1053">
        <f t="shared" si="4"/>
        <v>39470.770625000099</v>
      </c>
      <c r="O41" s="753">
        <v>39470.770625000099</v>
      </c>
      <c r="P41" s="753">
        <f t="shared" si="5"/>
        <v>0</v>
      </c>
      <c r="Q41" s="754"/>
      <c r="R41" s="436"/>
      <c r="S41" s="436"/>
    </row>
    <row r="42" spans="1:19" ht="15.75">
      <c r="A42" s="421">
        <v>37</v>
      </c>
      <c r="B42" s="313" t="s">
        <v>112</v>
      </c>
      <c r="C42" s="1010">
        <v>344900.83333333401</v>
      </c>
      <c r="D42" s="1040">
        <v>12</v>
      </c>
      <c r="E42" s="1010">
        <f t="shared" si="6"/>
        <v>4138810.0000000098</v>
      </c>
      <c r="F42" s="1010"/>
      <c r="G42" s="1010">
        <v>0</v>
      </c>
      <c r="H42" s="1035">
        <v>283104.80000000098</v>
      </c>
      <c r="I42" s="1010"/>
      <c r="J42" s="1010">
        <f t="shared" si="1"/>
        <v>283104.80000000098</v>
      </c>
      <c r="K42" s="1010">
        <f t="shared" si="2"/>
        <v>3855705.20000001</v>
      </c>
      <c r="L42" s="1010">
        <f t="shared" si="3"/>
        <v>484026.93600000098</v>
      </c>
      <c r="M42" s="431">
        <v>12</v>
      </c>
      <c r="N42" s="1053">
        <f t="shared" si="4"/>
        <v>40335.578000000103</v>
      </c>
      <c r="O42" s="753">
        <v>40335.578000000103</v>
      </c>
      <c r="P42" s="753">
        <f t="shared" si="5"/>
        <v>0</v>
      </c>
      <c r="Q42" s="754"/>
      <c r="R42" s="436"/>
      <c r="S42" s="436"/>
    </row>
    <row r="43" spans="1:19" ht="15.75">
      <c r="A43" s="421">
        <v>38</v>
      </c>
      <c r="B43" s="313" t="s">
        <v>114</v>
      </c>
      <c r="C43" s="1010">
        <v>344900.83333333401</v>
      </c>
      <c r="D43" s="1040">
        <v>12</v>
      </c>
      <c r="E43" s="1010">
        <f t="shared" si="6"/>
        <v>4138810.0000000098</v>
      </c>
      <c r="F43" s="1010"/>
      <c r="G43" s="1010">
        <v>0</v>
      </c>
      <c r="H43" s="1035">
        <v>283104.80000000098</v>
      </c>
      <c r="I43" s="1010"/>
      <c r="J43" s="1010">
        <f t="shared" si="1"/>
        <v>283104.80000000098</v>
      </c>
      <c r="K43" s="1010">
        <f t="shared" si="2"/>
        <v>3855705.20000001</v>
      </c>
      <c r="L43" s="1010">
        <f t="shared" si="3"/>
        <v>484026.93600000098</v>
      </c>
      <c r="M43" s="431">
        <v>12</v>
      </c>
      <c r="N43" s="1053">
        <f t="shared" si="4"/>
        <v>40335.578000000103</v>
      </c>
      <c r="O43" s="753">
        <v>40335.578000000103</v>
      </c>
      <c r="P43" s="753">
        <f t="shared" si="5"/>
        <v>0</v>
      </c>
      <c r="Q43" s="754"/>
      <c r="R43" s="436"/>
      <c r="S43" s="436"/>
    </row>
    <row r="44" spans="1:19" ht="15.75">
      <c r="A44" s="421">
        <v>39</v>
      </c>
      <c r="B44" s="313" t="s">
        <v>115</v>
      </c>
      <c r="C44" s="1010">
        <v>344900.83333333401</v>
      </c>
      <c r="D44" s="1040">
        <v>12</v>
      </c>
      <c r="E44" s="1010">
        <f t="shared" si="6"/>
        <v>4138810.0000000098</v>
      </c>
      <c r="F44" s="1010"/>
      <c r="G44" s="1010">
        <v>0</v>
      </c>
      <c r="H44" s="1035">
        <v>283104.80000000098</v>
      </c>
      <c r="I44" s="1010"/>
      <c r="J44" s="1010">
        <f t="shared" si="1"/>
        <v>283104.80000000098</v>
      </c>
      <c r="K44" s="1010">
        <f t="shared" si="2"/>
        <v>3855705.20000001</v>
      </c>
      <c r="L44" s="1010">
        <f t="shared" si="3"/>
        <v>484026.93600000098</v>
      </c>
      <c r="M44" s="431">
        <v>12</v>
      </c>
      <c r="N44" s="1053">
        <f t="shared" si="4"/>
        <v>40335.578000000103</v>
      </c>
      <c r="O44" s="753">
        <v>40335.578000000103</v>
      </c>
      <c r="P44" s="753">
        <f t="shared" si="5"/>
        <v>0</v>
      </c>
      <c r="Q44" s="754"/>
      <c r="R44" s="436"/>
      <c r="S44" s="436"/>
    </row>
    <row r="45" spans="1:19" ht="15.75">
      <c r="A45" s="421">
        <v>40</v>
      </c>
      <c r="B45" s="313" t="s">
        <v>117</v>
      </c>
      <c r="C45" s="1010">
        <v>344900.83333333401</v>
      </c>
      <c r="D45" s="1040">
        <v>12</v>
      </c>
      <c r="E45" s="1010">
        <f t="shared" si="6"/>
        <v>4138810.0000000098</v>
      </c>
      <c r="F45" s="1010"/>
      <c r="G45" s="1010">
        <v>0</v>
      </c>
      <c r="H45" s="1035">
        <v>283104.80000000098</v>
      </c>
      <c r="I45" s="1010"/>
      <c r="J45" s="1010">
        <f t="shared" si="1"/>
        <v>283104.80000000098</v>
      </c>
      <c r="K45" s="1010">
        <f t="shared" si="2"/>
        <v>3855705.20000001</v>
      </c>
      <c r="L45" s="1010">
        <f t="shared" si="3"/>
        <v>484026.93600000098</v>
      </c>
      <c r="M45" s="431">
        <v>12</v>
      </c>
      <c r="N45" s="1053">
        <f t="shared" si="4"/>
        <v>40335.578000000103</v>
      </c>
      <c r="O45" s="753">
        <v>40335.578000000103</v>
      </c>
      <c r="P45" s="753">
        <f t="shared" si="5"/>
        <v>0</v>
      </c>
      <c r="Q45" s="754"/>
      <c r="R45" s="436"/>
      <c r="S45" s="436"/>
    </row>
    <row r="46" spans="1:19" ht="15.75">
      <c r="A46" s="421">
        <v>41</v>
      </c>
      <c r="B46" s="313" t="s">
        <v>118</v>
      </c>
      <c r="C46" s="1010">
        <v>344900.83333333401</v>
      </c>
      <c r="D46" s="1040">
        <v>12</v>
      </c>
      <c r="E46" s="1010">
        <f t="shared" si="6"/>
        <v>4138810.0000000098</v>
      </c>
      <c r="F46" s="1010"/>
      <c r="G46" s="1010">
        <v>0</v>
      </c>
      <c r="H46" s="1035">
        <v>283104.80000000098</v>
      </c>
      <c r="I46" s="1010"/>
      <c r="J46" s="1010">
        <f t="shared" si="1"/>
        <v>283104.80000000098</v>
      </c>
      <c r="K46" s="1010">
        <f t="shared" si="2"/>
        <v>3855705.20000001</v>
      </c>
      <c r="L46" s="1010">
        <f t="shared" si="3"/>
        <v>484026.93600000098</v>
      </c>
      <c r="M46" s="431">
        <v>12</v>
      </c>
      <c r="N46" s="1053">
        <f t="shared" si="4"/>
        <v>40335.578000000103</v>
      </c>
      <c r="O46" s="753">
        <v>40335.578000000103</v>
      </c>
      <c r="P46" s="753">
        <f t="shared" si="5"/>
        <v>0</v>
      </c>
      <c r="Q46" s="754"/>
      <c r="R46" s="436"/>
      <c r="S46" s="436"/>
    </row>
    <row r="47" spans="1:19" ht="15.75">
      <c r="A47" s="421"/>
      <c r="B47" s="313" t="s">
        <v>120</v>
      </c>
      <c r="C47" s="1049">
        <f>SUM(C6:C46)</f>
        <v>25965152.5</v>
      </c>
      <c r="D47" s="1050"/>
      <c r="E47" s="1049">
        <f t="shared" ref="E47:P47" si="7">SUM(E6:E46)</f>
        <v>311581830</v>
      </c>
      <c r="F47" s="1049">
        <f t="shared" si="7"/>
        <v>700000</v>
      </c>
      <c r="G47" s="1049">
        <f t="shared" si="7"/>
        <v>1778670.7250000001</v>
      </c>
      <c r="H47" s="1049">
        <f t="shared" si="7"/>
        <v>16947334.719999999</v>
      </c>
      <c r="I47" s="1049">
        <f t="shared" si="7"/>
        <v>0</v>
      </c>
      <c r="J47" s="1049">
        <f t="shared" si="7"/>
        <v>19426005.445</v>
      </c>
      <c r="K47" s="1049">
        <f t="shared" si="7"/>
        <v>292155824.55500001</v>
      </c>
      <c r="L47" s="1049">
        <f t="shared" si="7"/>
        <v>44802459.383400001</v>
      </c>
      <c r="M47" s="1049">
        <f t="shared" si="7"/>
        <v>492</v>
      </c>
      <c r="N47" s="1056">
        <f t="shared" si="7"/>
        <v>3733538.2819500002</v>
      </c>
      <c r="O47" s="1049">
        <v>3744038.2819500002</v>
      </c>
      <c r="P47" s="1049">
        <f t="shared" si="7"/>
        <v>-10500</v>
      </c>
      <c r="Q47" s="754"/>
      <c r="R47" s="436"/>
      <c r="S47" s="436"/>
    </row>
    <row r="48" spans="1:19" ht="15.75">
      <c r="A48" s="421"/>
      <c r="B48" s="809"/>
      <c r="C48" s="1010"/>
      <c r="D48" s="1040"/>
      <c r="E48" s="1010"/>
      <c r="F48" s="1010"/>
      <c r="G48" s="1010"/>
      <c r="H48" s="1035"/>
      <c r="I48" s="1010"/>
      <c r="J48" s="1010"/>
      <c r="K48" s="1010"/>
      <c r="L48" s="1010"/>
      <c r="M48" s="431"/>
      <c r="N48" s="1053"/>
      <c r="O48" s="753"/>
      <c r="P48" s="753"/>
      <c r="Q48" s="754"/>
      <c r="R48" s="436"/>
      <c r="S48" s="436"/>
    </row>
    <row r="49" spans="1:20" ht="15.75">
      <c r="A49" s="421"/>
      <c r="B49" s="812" t="s">
        <v>121</v>
      </c>
      <c r="C49" s="1010"/>
      <c r="D49" s="1040"/>
      <c r="E49" s="1010"/>
      <c r="F49" s="1010"/>
      <c r="G49" s="1010"/>
      <c r="H49" s="1010"/>
      <c r="I49" s="1010"/>
      <c r="J49" s="1010"/>
      <c r="K49" s="1010"/>
      <c r="L49" s="1010"/>
      <c r="M49" s="431"/>
      <c r="N49" s="1053"/>
      <c r="O49" s="753"/>
      <c r="P49" s="753"/>
      <c r="Q49" s="754"/>
      <c r="R49" s="436"/>
      <c r="S49" s="436"/>
    </row>
    <row r="50" spans="1:20" ht="15.75">
      <c r="A50" s="421">
        <v>1</v>
      </c>
      <c r="B50" s="313" t="s">
        <v>122</v>
      </c>
      <c r="C50" s="1010">
        <v>1847106.41666666</v>
      </c>
      <c r="D50" s="1040">
        <v>12</v>
      </c>
      <c r="E50" s="1010">
        <f t="shared" si="6"/>
        <v>22165276.999999899</v>
      </c>
      <c r="F50" s="1010"/>
      <c r="G50" s="1010">
        <v>0</v>
      </c>
      <c r="H50" s="1010">
        <v>1677222.1599999899</v>
      </c>
      <c r="I50" s="1010"/>
      <c r="J50" s="1010">
        <f t="shared" si="1"/>
        <v>1677222.1599999899</v>
      </c>
      <c r="K50" s="1010">
        <f t="shared" si="2"/>
        <v>20488054.839999899</v>
      </c>
      <c r="L50" s="1010">
        <f t="shared" si="3"/>
        <v>3732491.5163999898</v>
      </c>
      <c r="M50" s="431">
        <v>12</v>
      </c>
      <c r="N50" s="1053">
        <f t="shared" si="4"/>
        <v>311040.95969999902</v>
      </c>
      <c r="O50" s="753">
        <v>311040.95969999902</v>
      </c>
      <c r="P50" s="753">
        <f t="shared" si="5"/>
        <v>0</v>
      </c>
      <c r="Q50" s="754"/>
      <c r="R50" s="436"/>
      <c r="S50" s="436"/>
      <c r="T50" s="436"/>
    </row>
    <row r="51" spans="1:20" ht="15.75">
      <c r="A51" s="421">
        <v>2</v>
      </c>
      <c r="B51" s="597" t="s">
        <v>125</v>
      </c>
      <c r="C51" s="1010">
        <v>802595.5</v>
      </c>
      <c r="D51" s="1040">
        <v>12</v>
      </c>
      <c r="E51" s="1010">
        <f t="shared" si="6"/>
        <v>9631146</v>
      </c>
      <c r="F51" s="1010"/>
      <c r="G51" s="1010">
        <v>0</v>
      </c>
      <c r="H51" s="1010">
        <v>693691.68</v>
      </c>
      <c r="I51" s="1010"/>
      <c r="J51" s="1010">
        <f t="shared" si="1"/>
        <v>693691.68</v>
      </c>
      <c r="K51" s="1010">
        <f t="shared" si="2"/>
        <v>8937454.3200000003</v>
      </c>
      <c r="L51" s="1010">
        <f t="shared" si="3"/>
        <v>1398741.7775999999</v>
      </c>
      <c r="M51" s="431">
        <v>12</v>
      </c>
      <c r="N51" s="1053">
        <f t="shared" si="4"/>
        <v>116561.81479999999</v>
      </c>
      <c r="O51" s="753">
        <v>116561.81479999999</v>
      </c>
      <c r="P51" s="753">
        <f t="shared" si="5"/>
        <v>0</v>
      </c>
      <c r="Q51" s="754"/>
      <c r="R51" s="436"/>
      <c r="S51" s="436"/>
    </row>
    <row r="52" spans="1:20" ht="15.75">
      <c r="A52" s="421">
        <v>3</v>
      </c>
      <c r="B52" s="597" t="s">
        <v>127</v>
      </c>
      <c r="C52" s="1010">
        <v>450135.83333333401</v>
      </c>
      <c r="D52" s="1040">
        <v>12</v>
      </c>
      <c r="E52" s="1010">
        <f t="shared" si="6"/>
        <v>5401630.0000000102</v>
      </c>
      <c r="F52" s="1010"/>
      <c r="G52" s="1010">
        <v>73851.350000000093</v>
      </c>
      <c r="H52" s="1035">
        <v>374530.40000000101</v>
      </c>
      <c r="I52" s="1010"/>
      <c r="J52" s="1010">
        <f t="shared" si="1"/>
        <v>448381.75000000099</v>
      </c>
      <c r="K52" s="1010">
        <f t="shared" si="2"/>
        <v>4953248.2500000102</v>
      </c>
      <c r="L52" s="1010">
        <f t="shared" si="3"/>
        <v>681584.68500000099</v>
      </c>
      <c r="M52" s="431">
        <v>12</v>
      </c>
      <c r="N52" s="1053">
        <f t="shared" si="4"/>
        <v>56798.723750000099</v>
      </c>
      <c r="O52" s="753">
        <v>56798.723750000099</v>
      </c>
      <c r="P52" s="753">
        <f t="shared" si="5"/>
        <v>0</v>
      </c>
      <c r="Q52" s="754"/>
      <c r="R52" s="436"/>
      <c r="S52" s="436"/>
    </row>
    <row r="53" spans="1:20" ht="15.75">
      <c r="A53" s="421">
        <v>4</v>
      </c>
      <c r="B53" s="597" t="s">
        <v>129</v>
      </c>
      <c r="C53" s="1010">
        <v>514993.58333333302</v>
      </c>
      <c r="D53" s="1040">
        <v>12</v>
      </c>
      <c r="E53" s="1010">
        <f t="shared" si="6"/>
        <v>6179923</v>
      </c>
      <c r="F53" s="1010"/>
      <c r="G53" s="1010">
        <v>0</v>
      </c>
      <c r="H53" s="1035">
        <v>436793.84</v>
      </c>
      <c r="I53" s="1010"/>
      <c r="J53" s="1010">
        <f t="shared" si="1"/>
        <v>436793.84</v>
      </c>
      <c r="K53" s="1010">
        <f t="shared" si="2"/>
        <v>5743129.1600000001</v>
      </c>
      <c r="L53" s="1010">
        <f t="shared" si="3"/>
        <v>823763.24879999901</v>
      </c>
      <c r="M53" s="431">
        <v>12</v>
      </c>
      <c r="N53" s="1053">
        <f t="shared" si="4"/>
        <v>68646.937399999995</v>
      </c>
      <c r="O53" s="753">
        <v>68646.937399999995</v>
      </c>
      <c r="P53" s="753">
        <f t="shared" si="5"/>
        <v>0</v>
      </c>
      <c r="Q53" s="754"/>
      <c r="R53" s="436"/>
      <c r="S53" s="436"/>
    </row>
    <row r="54" spans="1:20" ht="15.75">
      <c r="A54" s="421">
        <v>5</v>
      </c>
      <c r="B54" s="597" t="s">
        <v>132</v>
      </c>
      <c r="C54" s="1010">
        <v>398711.66666666698</v>
      </c>
      <c r="D54" s="1040">
        <v>12</v>
      </c>
      <c r="E54" s="1010">
        <f t="shared" si="6"/>
        <v>4784540</v>
      </c>
      <c r="F54" s="1010"/>
      <c r="G54" s="1010">
        <v>65320.025000000103</v>
      </c>
      <c r="H54" s="1035">
        <v>325163.2</v>
      </c>
      <c r="I54" s="1010"/>
      <c r="J54" s="1010">
        <f t="shared" si="1"/>
        <v>390483.22499999998</v>
      </c>
      <c r="K54" s="1010">
        <f t="shared" si="2"/>
        <v>4394056.7750000004</v>
      </c>
      <c r="L54" s="1010">
        <f t="shared" si="3"/>
        <v>580930.21950000105</v>
      </c>
      <c r="M54" s="431">
        <v>12</v>
      </c>
      <c r="N54" s="1053">
        <f t="shared" si="4"/>
        <v>48410.851625000098</v>
      </c>
      <c r="O54" s="753">
        <v>48410.851625000098</v>
      </c>
      <c r="P54" s="753">
        <f t="shared" si="5"/>
        <v>0</v>
      </c>
      <c r="Q54" s="754"/>
      <c r="R54" s="436"/>
      <c r="S54" s="436"/>
    </row>
    <row r="55" spans="1:20" ht="15.75">
      <c r="A55" s="421">
        <v>6</v>
      </c>
      <c r="B55" s="597" t="s">
        <v>133</v>
      </c>
      <c r="C55" s="1010">
        <v>407016.16666666599</v>
      </c>
      <c r="D55" s="1040">
        <v>12</v>
      </c>
      <c r="E55" s="1010">
        <f t="shared" si="6"/>
        <v>4884193.9999999898</v>
      </c>
      <c r="F55" s="1010"/>
      <c r="G55" s="1010">
        <v>66802.374999999898</v>
      </c>
      <c r="H55" s="1035">
        <v>333135.51999999903</v>
      </c>
      <c r="I55" s="1010"/>
      <c r="J55" s="1010">
        <f t="shared" si="1"/>
        <v>399937.89499999903</v>
      </c>
      <c r="K55" s="1010">
        <f t="shared" si="2"/>
        <v>4484256.1049999902</v>
      </c>
      <c r="L55" s="1010">
        <f t="shared" si="3"/>
        <v>597166.09889999905</v>
      </c>
      <c r="M55" s="431">
        <v>12</v>
      </c>
      <c r="N55" s="1053">
        <f t="shared" si="4"/>
        <v>49763.841574999897</v>
      </c>
      <c r="O55" s="753">
        <v>49763.841574999897</v>
      </c>
      <c r="P55" s="753">
        <f t="shared" si="5"/>
        <v>0</v>
      </c>
      <c r="Q55" s="754"/>
      <c r="R55" s="436"/>
      <c r="S55" s="436"/>
    </row>
    <row r="56" spans="1:20" s="870" customFormat="1" ht="31.5">
      <c r="A56" s="1042">
        <v>7</v>
      </c>
      <c r="B56" s="1043" t="s">
        <v>135</v>
      </c>
      <c r="C56" s="1046">
        <v>344900.83333333401</v>
      </c>
      <c r="D56" s="1045">
        <v>12</v>
      </c>
      <c r="E56" s="1046">
        <f t="shared" si="6"/>
        <v>4138810.0000000098</v>
      </c>
      <c r="F56" s="1046">
        <v>110000</v>
      </c>
      <c r="G56" s="1046">
        <v>0</v>
      </c>
      <c r="H56" s="1048">
        <v>283104.80000000098</v>
      </c>
      <c r="I56" s="1046"/>
      <c r="J56" s="1046">
        <f t="shared" si="1"/>
        <v>393104.80000000098</v>
      </c>
      <c r="K56" s="1046">
        <f t="shared" si="2"/>
        <v>3745705.20000001</v>
      </c>
      <c r="L56" s="1046">
        <f t="shared" si="3"/>
        <v>464226.93600000098</v>
      </c>
      <c r="M56" s="1054">
        <v>12</v>
      </c>
      <c r="N56" s="1046">
        <f t="shared" si="4"/>
        <v>38685.578000000103</v>
      </c>
      <c r="O56" s="1055">
        <v>40335.578000000103</v>
      </c>
      <c r="P56" s="1055">
        <f t="shared" si="5"/>
        <v>-1650</v>
      </c>
      <c r="Q56" s="1060"/>
      <c r="R56" s="1061"/>
      <c r="S56" s="1061"/>
    </row>
    <row r="57" spans="1:20" ht="15.75">
      <c r="A57" s="421"/>
      <c r="B57" s="597"/>
      <c r="C57" s="1049">
        <f>SUM(C50:C56)</f>
        <v>4765459.9999999898</v>
      </c>
      <c r="D57" s="1050"/>
      <c r="E57" s="1049">
        <f t="shared" ref="E57:P57" si="8">SUM(E50:E56)</f>
        <v>57185519.999999903</v>
      </c>
      <c r="F57" s="1049"/>
      <c r="G57" s="1049">
        <f t="shared" si="8"/>
        <v>205973.75</v>
      </c>
      <c r="H57" s="1049">
        <f t="shared" si="8"/>
        <v>4123641.5999999898</v>
      </c>
      <c r="I57" s="1049"/>
      <c r="J57" s="1049">
        <f t="shared" si="8"/>
        <v>4439615.3499999903</v>
      </c>
      <c r="K57" s="1049">
        <f t="shared" si="8"/>
        <v>52745904.649999902</v>
      </c>
      <c r="L57" s="1049">
        <f t="shared" si="8"/>
        <v>8278904.4821999902</v>
      </c>
      <c r="M57" s="1049"/>
      <c r="N57" s="1056">
        <f t="shared" si="8"/>
        <v>689908.70684999903</v>
      </c>
      <c r="O57" s="1049">
        <v>691558.70684999903</v>
      </c>
      <c r="P57" s="1049">
        <f t="shared" si="8"/>
        <v>-1650</v>
      </c>
      <c r="Q57" s="754"/>
      <c r="R57" s="436"/>
      <c r="S57" s="436"/>
    </row>
    <row r="58" spans="1:20" ht="15.75">
      <c r="A58" s="421"/>
      <c r="B58" s="814"/>
      <c r="C58" s="1010"/>
      <c r="D58" s="1040"/>
      <c r="E58" s="1010"/>
      <c r="F58" s="1010"/>
      <c r="G58" s="882"/>
      <c r="H58" s="882"/>
      <c r="I58" s="882"/>
      <c r="J58" s="1010"/>
      <c r="K58" s="1010"/>
      <c r="L58" s="1010"/>
      <c r="M58" s="431"/>
      <c r="N58" s="1053"/>
      <c r="O58" s="753"/>
      <c r="P58" s="753"/>
      <c r="Q58" s="754"/>
      <c r="R58" s="436"/>
      <c r="S58" s="436"/>
    </row>
    <row r="59" spans="1:20" ht="15.75">
      <c r="A59" s="421"/>
      <c r="B59" s="809" t="s">
        <v>137</v>
      </c>
      <c r="C59" s="1041"/>
      <c r="D59" s="1040"/>
      <c r="E59" s="1010"/>
      <c r="F59" s="1010"/>
      <c r="G59" s="1010"/>
      <c r="H59" s="1035"/>
      <c r="I59" s="1010"/>
      <c r="J59" s="1010"/>
      <c r="K59" s="1010"/>
      <c r="L59" s="1010"/>
      <c r="M59" s="431"/>
      <c r="N59" s="1053"/>
      <c r="O59" s="753"/>
      <c r="P59" s="753"/>
      <c r="Q59" s="754"/>
      <c r="R59" s="436"/>
      <c r="S59" s="436"/>
    </row>
    <row r="60" spans="1:20" ht="15.75">
      <c r="A60" s="421">
        <v>1</v>
      </c>
      <c r="B60" s="597" t="s">
        <v>138</v>
      </c>
      <c r="C60" s="1010">
        <v>1897359.33333333</v>
      </c>
      <c r="D60" s="1040">
        <v>12</v>
      </c>
      <c r="E60" s="1010">
        <f t="shared" si="6"/>
        <v>22768312</v>
      </c>
      <c r="F60" s="1010"/>
      <c r="G60" s="882">
        <v>0</v>
      </c>
      <c r="H60" s="1035">
        <v>1629464.96</v>
      </c>
      <c r="I60" s="882"/>
      <c r="J60" s="1010">
        <f t="shared" si="1"/>
        <v>1629464.96</v>
      </c>
      <c r="K60" s="1010">
        <f t="shared" si="2"/>
        <v>21138847.039999999</v>
      </c>
      <c r="L60" s="1010">
        <f t="shared" si="3"/>
        <v>3869157.87839999</v>
      </c>
      <c r="M60" s="431">
        <v>12</v>
      </c>
      <c r="N60" s="1053">
        <f t="shared" si="4"/>
        <v>322429.82319999899</v>
      </c>
      <c r="O60" s="753">
        <v>322429.82319999899</v>
      </c>
      <c r="P60" s="753">
        <f t="shared" si="5"/>
        <v>0</v>
      </c>
      <c r="Q60" s="754"/>
      <c r="R60" s="436"/>
      <c r="S60" s="436"/>
    </row>
    <row r="61" spans="1:20" ht="15.75">
      <c r="A61" s="421">
        <v>2</v>
      </c>
      <c r="B61" s="597" t="s">
        <v>141</v>
      </c>
      <c r="C61" s="1010">
        <v>904477</v>
      </c>
      <c r="D61" s="1040">
        <v>12</v>
      </c>
      <c r="E61" s="1010">
        <f t="shared" si="6"/>
        <v>10853724</v>
      </c>
      <c r="F61" s="1010"/>
      <c r="G61" s="882">
        <v>0</v>
      </c>
      <c r="H61" s="1035">
        <v>714697.92</v>
      </c>
      <c r="I61" s="882"/>
      <c r="J61" s="1010">
        <f t="shared" si="1"/>
        <v>714697.92</v>
      </c>
      <c r="K61" s="1010">
        <f t="shared" si="2"/>
        <v>10139026.08</v>
      </c>
      <c r="L61" s="1010">
        <f t="shared" si="3"/>
        <v>1615024.6943999999</v>
      </c>
      <c r="M61" s="431">
        <v>12</v>
      </c>
      <c r="N61" s="1053">
        <f t="shared" si="4"/>
        <v>134585.39120000001</v>
      </c>
      <c r="O61" s="753">
        <v>134585.39120000001</v>
      </c>
      <c r="P61" s="753">
        <f t="shared" si="5"/>
        <v>0</v>
      </c>
      <c r="Q61" s="754"/>
      <c r="R61" s="436"/>
      <c r="S61" s="436"/>
    </row>
    <row r="62" spans="1:20" ht="15.75">
      <c r="A62" s="421">
        <v>3</v>
      </c>
      <c r="B62" s="597" t="s">
        <v>143</v>
      </c>
      <c r="C62" s="1010">
        <v>904477</v>
      </c>
      <c r="D62" s="1040">
        <v>12</v>
      </c>
      <c r="E62" s="1010">
        <f t="shared" si="6"/>
        <v>10853724</v>
      </c>
      <c r="F62" s="1010"/>
      <c r="G62" s="882">
        <v>137703.15</v>
      </c>
      <c r="H62" s="1035">
        <v>714697.92</v>
      </c>
      <c r="I62" s="882"/>
      <c r="J62" s="1010">
        <f t="shared" si="1"/>
        <v>852401.07</v>
      </c>
      <c r="K62" s="1010">
        <f t="shared" si="2"/>
        <v>10001322.93</v>
      </c>
      <c r="L62" s="1010">
        <f t="shared" si="3"/>
        <v>1590238.1274000001</v>
      </c>
      <c r="M62" s="431">
        <v>12</v>
      </c>
      <c r="N62" s="1053">
        <f t="shared" si="4"/>
        <v>132519.84395000001</v>
      </c>
      <c r="O62" s="753">
        <v>132519.84395000001</v>
      </c>
      <c r="P62" s="753">
        <f t="shared" si="5"/>
        <v>0</v>
      </c>
      <c r="Q62" s="754"/>
      <c r="R62" s="436"/>
      <c r="S62" s="436"/>
    </row>
    <row r="63" spans="1:20" ht="15.75">
      <c r="A63" s="421">
        <v>4</v>
      </c>
      <c r="B63" s="597" t="s">
        <v>144</v>
      </c>
      <c r="C63" s="1010">
        <v>904477</v>
      </c>
      <c r="D63" s="1040">
        <v>12</v>
      </c>
      <c r="E63" s="1010">
        <f t="shared" si="6"/>
        <v>10853724</v>
      </c>
      <c r="F63" s="1010"/>
      <c r="G63" s="1010">
        <v>0</v>
      </c>
      <c r="H63" s="1035">
        <v>714697.92</v>
      </c>
      <c r="I63" s="882"/>
      <c r="J63" s="1010">
        <f t="shared" si="1"/>
        <v>714697.92</v>
      </c>
      <c r="K63" s="1010">
        <f t="shared" si="2"/>
        <v>10139026.08</v>
      </c>
      <c r="L63" s="1010">
        <f t="shared" si="3"/>
        <v>1615024.6943999999</v>
      </c>
      <c r="M63" s="431">
        <v>12</v>
      </c>
      <c r="N63" s="1053">
        <f t="shared" si="4"/>
        <v>134585.39120000001</v>
      </c>
      <c r="O63" s="753">
        <v>134585.39120000001</v>
      </c>
      <c r="P63" s="753">
        <f t="shared" si="5"/>
        <v>0</v>
      </c>
      <c r="Q63" s="754"/>
      <c r="R63" s="436"/>
      <c r="S63" s="436"/>
    </row>
    <row r="64" spans="1:20" ht="15.75">
      <c r="A64" s="421">
        <v>5</v>
      </c>
      <c r="B64" s="597" t="s">
        <v>145</v>
      </c>
      <c r="C64" s="1010">
        <v>882595.5</v>
      </c>
      <c r="D64" s="1040">
        <v>12</v>
      </c>
      <c r="E64" s="1010">
        <f t="shared" si="6"/>
        <v>10591146</v>
      </c>
      <c r="F64" s="1010"/>
      <c r="G64" s="1010">
        <v>0</v>
      </c>
      <c r="H64" s="1035">
        <v>693691.68</v>
      </c>
      <c r="I64" s="882"/>
      <c r="J64" s="1010">
        <f t="shared" si="1"/>
        <v>693691.68</v>
      </c>
      <c r="K64" s="1010">
        <f t="shared" si="2"/>
        <v>9897454.3200000003</v>
      </c>
      <c r="L64" s="1010">
        <f t="shared" si="3"/>
        <v>1571541.7775999999</v>
      </c>
      <c r="M64" s="431">
        <v>12</v>
      </c>
      <c r="N64" s="1053">
        <f t="shared" si="4"/>
        <v>130961.81479999999</v>
      </c>
      <c r="O64" s="753">
        <v>130961.81479999999</v>
      </c>
      <c r="P64" s="753">
        <f t="shared" si="5"/>
        <v>0</v>
      </c>
      <c r="Q64" s="754"/>
      <c r="R64" s="436"/>
      <c r="S64" s="436"/>
    </row>
    <row r="65" spans="1:19" ht="31.5">
      <c r="A65" s="421">
        <v>6</v>
      </c>
      <c r="B65" s="593" t="s">
        <v>146</v>
      </c>
      <c r="C65" s="1010">
        <v>882595.5</v>
      </c>
      <c r="D65" s="1040">
        <v>12</v>
      </c>
      <c r="E65" s="1010">
        <f t="shared" si="6"/>
        <v>10591146</v>
      </c>
      <c r="F65" s="1010"/>
      <c r="G65" s="1010">
        <v>0</v>
      </c>
      <c r="H65" s="1035">
        <v>693691.68</v>
      </c>
      <c r="I65" s="882"/>
      <c r="J65" s="1010">
        <f t="shared" si="1"/>
        <v>693691.68</v>
      </c>
      <c r="K65" s="1010">
        <f t="shared" si="2"/>
        <v>9897454.3200000003</v>
      </c>
      <c r="L65" s="1010">
        <f t="shared" si="3"/>
        <v>1571541.7775999999</v>
      </c>
      <c r="M65" s="431">
        <v>12</v>
      </c>
      <c r="N65" s="1053">
        <f t="shared" si="4"/>
        <v>130961.81479999999</v>
      </c>
      <c r="O65" s="753">
        <v>130961.81479999999</v>
      </c>
      <c r="P65" s="753">
        <f t="shared" si="5"/>
        <v>0</v>
      </c>
      <c r="Q65" s="754"/>
      <c r="R65" s="436"/>
      <c r="S65" s="436"/>
    </row>
    <row r="66" spans="1:19" ht="15.75">
      <c r="A66" s="421">
        <v>7</v>
      </c>
      <c r="B66" s="597" t="s">
        <v>147</v>
      </c>
      <c r="C66" s="1010">
        <v>564993.58333333302</v>
      </c>
      <c r="D66" s="1040">
        <v>12</v>
      </c>
      <c r="E66" s="1010">
        <f t="shared" si="6"/>
        <v>6779923</v>
      </c>
      <c r="F66" s="1010"/>
      <c r="G66" s="1010">
        <v>0</v>
      </c>
      <c r="H66" s="1035">
        <v>436793.84</v>
      </c>
      <c r="I66" s="882"/>
      <c r="J66" s="1010">
        <f t="shared" si="1"/>
        <v>436793.84</v>
      </c>
      <c r="K66" s="1010">
        <f t="shared" si="2"/>
        <v>6343129.1600000001</v>
      </c>
      <c r="L66" s="1010">
        <f t="shared" si="3"/>
        <v>931763.24879999901</v>
      </c>
      <c r="M66" s="431">
        <v>12</v>
      </c>
      <c r="N66" s="1053">
        <f t="shared" si="4"/>
        <v>77646.937399999995</v>
      </c>
      <c r="O66" s="753">
        <v>77646.937399999995</v>
      </c>
      <c r="P66" s="753">
        <f t="shared" si="5"/>
        <v>0</v>
      </c>
      <c r="Q66" s="754"/>
      <c r="R66" s="436"/>
      <c r="S66" s="436"/>
    </row>
    <row r="67" spans="1:19" ht="15.75">
      <c r="A67" s="421">
        <v>8</v>
      </c>
      <c r="B67" s="597" t="s">
        <v>149</v>
      </c>
      <c r="C67" s="1010">
        <v>499131.16666666698</v>
      </c>
      <c r="D67" s="1040">
        <v>12</v>
      </c>
      <c r="E67" s="1010">
        <f t="shared" si="6"/>
        <v>5989574</v>
      </c>
      <c r="F67" s="1010"/>
      <c r="G67" s="1010">
        <v>0</v>
      </c>
      <c r="H67" s="1035">
        <v>383165.92</v>
      </c>
      <c r="I67" s="882"/>
      <c r="J67" s="1010">
        <f t="shared" si="1"/>
        <v>383165.92</v>
      </c>
      <c r="K67" s="1010">
        <f t="shared" si="2"/>
        <v>5606408.0800000001</v>
      </c>
      <c r="L67" s="1010">
        <f t="shared" si="3"/>
        <v>799153.45440000098</v>
      </c>
      <c r="M67" s="431">
        <v>12</v>
      </c>
      <c r="N67" s="1053">
        <f t="shared" si="4"/>
        <v>66596.121200000096</v>
      </c>
      <c r="O67" s="753">
        <v>66596.121200000096</v>
      </c>
      <c r="P67" s="753">
        <f t="shared" si="5"/>
        <v>0</v>
      </c>
      <c r="Q67" s="754"/>
      <c r="R67" s="436"/>
      <c r="S67" s="436"/>
    </row>
    <row r="68" spans="1:19" ht="31.5">
      <c r="A68" s="421">
        <v>9</v>
      </c>
      <c r="B68" s="597" t="s">
        <v>152</v>
      </c>
      <c r="C68" s="1010">
        <v>481140.66666666599</v>
      </c>
      <c r="D68" s="1040">
        <v>12</v>
      </c>
      <c r="E68" s="1010">
        <f t="shared" si="6"/>
        <v>5773687.9999999898</v>
      </c>
      <c r="F68" s="1010"/>
      <c r="G68" s="1010">
        <v>0</v>
      </c>
      <c r="H68" s="1035">
        <v>365895.03999999899</v>
      </c>
      <c r="I68" s="882"/>
      <c r="J68" s="1010">
        <f t="shared" si="1"/>
        <v>365895.03999999899</v>
      </c>
      <c r="K68" s="1010">
        <f t="shared" si="2"/>
        <v>5407792.9599999897</v>
      </c>
      <c r="L68" s="1010">
        <f t="shared" si="3"/>
        <v>763402.73279999895</v>
      </c>
      <c r="M68" s="431">
        <v>12</v>
      </c>
      <c r="N68" s="1053">
        <f t="shared" si="4"/>
        <v>63616.894399999903</v>
      </c>
      <c r="O68" s="753">
        <v>63616.894399999903</v>
      </c>
      <c r="P68" s="753">
        <f t="shared" si="5"/>
        <v>0</v>
      </c>
      <c r="Q68" s="754"/>
      <c r="R68" s="436"/>
      <c r="S68" s="436"/>
    </row>
    <row r="69" spans="1:19" ht="15.75">
      <c r="A69" s="421">
        <v>10</v>
      </c>
      <c r="B69" s="597" t="s">
        <v>153</v>
      </c>
      <c r="C69" s="1010">
        <v>455320.66666666698</v>
      </c>
      <c r="D69" s="1040">
        <v>12</v>
      </c>
      <c r="E69" s="1010">
        <f t="shared" si="6"/>
        <v>5463848</v>
      </c>
      <c r="F69" s="1010"/>
      <c r="G69" s="1010">
        <v>0</v>
      </c>
      <c r="H69" s="1035">
        <v>341107.84</v>
      </c>
      <c r="I69" s="882"/>
      <c r="J69" s="1010">
        <f t="shared" si="1"/>
        <v>341107.84</v>
      </c>
      <c r="K69" s="1010">
        <f t="shared" si="2"/>
        <v>5122740.16</v>
      </c>
      <c r="L69" s="1010">
        <f t="shared" si="3"/>
        <v>712093.22880000097</v>
      </c>
      <c r="M69" s="431">
        <v>12</v>
      </c>
      <c r="N69" s="1053">
        <f t="shared" si="4"/>
        <v>59341.102400000098</v>
      </c>
      <c r="O69" s="753">
        <v>59341.102400000098</v>
      </c>
      <c r="P69" s="753">
        <f t="shared" si="5"/>
        <v>0</v>
      </c>
      <c r="Q69" s="754"/>
      <c r="R69" s="436"/>
      <c r="S69" s="436"/>
    </row>
    <row r="70" spans="1:19" ht="15.75">
      <c r="A70" s="421">
        <v>11</v>
      </c>
      <c r="B70" s="597" t="s">
        <v>155</v>
      </c>
      <c r="C70" s="1010">
        <v>455320.66666666698</v>
      </c>
      <c r="D70" s="1040">
        <v>12</v>
      </c>
      <c r="E70" s="1010">
        <f t="shared" si="6"/>
        <v>5463848</v>
      </c>
      <c r="F70" s="1010"/>
      <c r="G70" s="1010">
        <v>0</v>
      </c>
      <c r="H70" s="1035">
        <v>341107.84</v>
      </c>
      <c r="I70" s="882"/>
      <c r="J70" s="1010">
        <f t="shared" si="1"/>
        <v>341107.84</v>
      </c>
      <c r="K70" s="1010">
        <f t="shared" si="2"/>
        <v>5122740.16</v>
      </c>
      <c r="L70" s="1010">
        <f t="shared" si="3"/>
        <v>712093.22880000097</v>
      </c>
      <c r="M70" s="431">
        <v>12</v>
      </c>
      <c r="N70" s="1053">
        <f t="shared" si="4"/>
        <v>59341.102400000098</v>
      </c>
      <c r="O70" s="753">
        <v>59341.102400000098</v>
      </c>
      <c r="P70" s="753">
        <f t="shared" si="5"/>
        <v>0</v>
      </c>
      <c r="Q70" s="754"/>
      <c r="R70" s="436"/>
      <c r="S70" s="436"/>
    </row>
    <row r="71" spans="1:19" ht="15.75">
      <c r="A71" s="421">
        <v>12</v>
      </c>
      <c r="B71" s="597" t="s">
        <v>156</v>
      </c>
      <c r="C71" s="1010">
        <v>438711.66666666698</v>
      </c>
      <c r="D71" s="1040">
        <v>12</v>
      </c>
      <c r="E71" s="1010">
        <f t="shared" si="6"/>
        <v>5264540</v>
      </c>
      <c r="F71" s="1010"/>
      <c r="G71" s="1010">
        <v>0</v>
      </c>
      <c r="H71" s="1035">
        <v>325163.2</v>
      </c>
      <c r="I71" s="882"/>
      <c r="J71" s="1010">
        <f t="shared" ref="J71:J134" si="9">F71+G71+H71</f>
        <v>325163.2</v>
      </c>
      <c r="K71" s="1010">
        <f t="shared" ref="K71:K134" si="10">E71-J71</f>
        <v>4939376.8</v>
      </c>
      <c r="L71" s="1010">
        <f t="shared" ref="L71:L134" si="11">IF(K71&lt;=800000,0,IF(K71&lt;=3000000,(K71-800000)*15%,IF(K71&lt;=12000000,330000+(K71-3000000)*18%,IF(K71&lt;=25000000,1950000+(K71-12000000)*21%,IF(K71&lt;=50000000,4680000+(K71-25000000)*23%,10430000+(K71-50000000)*25%)))))</f>
        <v>679087.82400000095</v>
      </c>
      <c r="M71" s="431">
        <v>12</v>
      </c>
      <c r="N71" s="1053">
        <f t="shared" ref="N71:N134" si="12">L71/M71</f>
        <v>56590.652000000096</v>
      </c>
      <c r="O71" s="753">
        <v>56590.652000000096</v>
      </c>
      <c r="P71" s="753">
        <f t="shared" ref="P71:P134" si="13">N71-O71</f>
        <v>0</v>
      </c>
      <c r="Q71" s="754"/>
      <c r="R71" s="436"/>
      <c r="S71" s="436"/>
    </row>
    <row r="72" spans="1:19" ht="15.75">
      <c r="A72" s="421"/>
      <c r="B72" s="812" t="s">
        <v>120</v>
      </c>
      <c r="C72" s="1062">
        <f>SUM(C60:C71)</f>
        <v>9270599.75</v>
      </c>
      <c r="D72" s="1063"/>
      <c r="E72" s="1062">
        <f t="shared" ref="E72:P72" si="14">SUM(E60:E71)</f>
        <v>111247197</v>
      </c>
      <c r="F72" s="1062"/>
      <c r="G72" s="1062">
        <f t="shared" si="14"/>
        <v>137703.15</v>
      </c>
      <c r="H72" s="1062">
        <f t="shared" si="14"/>
        <v>7354175.7599999998</v>
      </c>
      <c r="I72" s="1062"/>
      <c r="J72" s="1062">
        <f t="shared" si="14"/>
        <v>7491878.9100000001</v>
      </c>
      <c r="K72" s="1062">
        <f t="shared" si="14"/>
        <v>103755318.09</v>
      </c>
      <c r="L72" s="1062">
        <f t="shared" si="14"/>
        <v>16430122.667400001</v>
      </c>
      <c r="M72" s="1062"/>
      <c r="N72" s="1067">
        <f t="shared" si="14"/>
        <v>1369176.8889500001</v>
      </c>
      <c r="O72" s="1062">
        <v>1369176.8889500001</v>
      </c>
      <c r="P72" s="1062">
        <f t="shared" si="14"/>
        <v>0</v>
      </c>
      <c r="Q72" s="754"/>
      <c r="R72" s="436"/>
      <c r="S72" s="436"/>
    </row>
    <row r="73" spans="1:19" ht="15.75">
      <c r="A73" s="421"/>
      <c r="B73" s="809"/>
      <c r="C73" s="1010"/>
      <c r="D73" s="1040"/>
      <c r="E73" s="1010"/>
      <c r="F73" s="1010"/>
      <c r="G73" s="1010"/>
      <c r="H73" s="882"/>
      <c r="I73" s="882"/>
      <c r="J73" s="1010"/>
      <c r="K73" s="1010"/>
      <c r="L73" s="1010"/>
      <c r="M73" s="431"/>
      <c r="N73" s="1053"/>
      <c r="O73" s="753"/>
      <c r="P73" s="753"/>
      <c r="Q73" s="754"/>
      <c r="R73" s="436"/>
      <c r="S73" s="436"/>
    </row>
    <row r="74" spans="1:19" ht="15.75">
      <c r="A74" s="421"/>
      <c r="B74" s="809" t="s">
        <v>157</v>
      </c>
      <c r="C74" s="1010"/>
      <c r="D74" s="1040"/>
      <c r="E74" s="1010"/>
      <c r="F74" s="1010"/>
      <c r="G74" s="1010"/>
      <c r="H74" s="1035"/>
      <c r="I74" s="882"/>
      <c r="J74" s="1010"/>
      <c r="K74" s="1010"/>
      <c r="L74" s="1010"/>
      <c r="M74" s="431"/>
      <c r="N74" s="1053"/>
      <c r="O74" s="753"/>
      <c r="P74" s="753"/>
      <c r="Q74" s="754"/>
      <c r="R74" s="436"/>
      <c r="S74" s="436"/>
    </row>
    <row r="75" spans="1:19" ht="15.75">
      <c r="A75" s="421">
        <v>1</v>
      </c>
      <c r="B75" s="597" t="s">
        <v>158</v>
      </c>
      <c r="C75" s="1010">
        <v>1947106.41666666</v>
      </c>
      <c r="D75" s="1040">
        <v>12</v>
      </c>
      <c r="E75" s="1010">
        <f t="shared" si="6"/>
        <v>23365276.999999899</v>
      </c>
      <c r="F75" s="1010"/>
      <c r="G75" s="1010">
        <v>0</v>
      </c>
      <c r="H75" s="1010">
        <v>1677222.16</v>
      </c>
      <c r="I75" s="882"/>
      <c r="J75" s="1010">
        <f t="shared" si="9"/>
        <v>1677222.16</v>
      </c>
      <c r="K75" s="1010">
        <f t="shared" si="10"/>
        <v>21688054.839999899</v>
      </c>
      <c r="L75" s="1010">
        <f t="shared" si="11"/>
        <v>3984491.5163999801</v>
      </c>
      <c r="M75" s="431">
        <v>12</v>
      </c>
      <c r="N75" s="1053">
        <f t="shared" si="12"/>
        <v>332040.95969999902</v>
      </c>
      <c r="O75" s="753">
        <v>332040.95969999902</v>
      </c>
      <c r="P75" s="753">
        <f t="shared" si="13"/>
        <v>0</v>
      </c>
      <c r="Q75" s="754"/>
      <c r="R75" s="436"/>
      <c r="S75" s="436"/>
    </row>
    <row r="76" spans="1:19" ht="15.75">
      <c r="A76" s="421">
        <v>2</v>
      </c>
      <c r="B76" s="597" t="s">
        <v>160</v>
      </c>
      <c r="C76" s="1010">
        <v>824477</v>
      </c>
      <c r="D76" s="1040">
        <v>12</v>
      </c>
      <c r="E76" s="1010">
        <f t="shared" si="6"/>
        <v>9893724</v>
      </c>
      <c r="F76" s="1010"/>
      <c r="G76" s="1010">
        <v>0</v>
      </c>
      <c r="H76" s="882">
        <v>714697.92</v>
      </c>
      <c r="I76" s="882"/>
      <c r="J76" s="1010">
        <f t="shared" si="9"/>
        <v>714697.92</v>
      </c>
      <c r="K76" s="1010">
        <f t="shared" si="10"/>
        <v>9179026.0800000001</v>
      </c>
      <c r="L76" s="1010">
        <f t="shared" si="11"/>
        <v>1442224.6943999999</v>
      </c>
      <c r="M76" s="431">
        <v>12</v>
      </c>
      <c r="N76" s="1053">
        <f t="shared" si="12"/>
        <v>120185.3912</v>
      </c>
      <c r="O76" s="753">
        <v>120185.3912</v>
      </c>
      <c r="P76" s="753">
        <f t="shared" si="13"/>
        <v>0</v>
      </c>
      <c r="Q76" s="754"/>
      <c r="R76" s="436"/>
      <c r="S76" s="436"/>
    </row>
    <row r="77" spans="1:19" ht="15.75">
      <c r="A77" s="421"/>
      <c r="B77" s="809"/>
      <c r="C77" s="1049">
        <f>SUM(C75:C76)</f>
        <v>2771583.41666666</v>
      </c>
      <c r="D77" s="1050"/>
      <c r="E77" s="1049">
        <f t="shared" ref="E77:P77" si="15">SUM(E75:E76)</f>
        <v>33259000.999999899</v>
      </c>
      <c r="F77" s="1049"/>
      <c r="G77" s="1049">
        <f t="shared" si="15"/>
        <v>0</v>
      </c>
      <c r="H77" s="1049">
        <f t="shared" si="15"/>
        <v>2391920.08</v>
      </c>
      <c r="I77" s="1049"/>
      <c r="J77" s="1049">
        <f t="shared" si="15"/>
        <v>2391920.08</v>
      </c>
      <c r="K77" s="1049">
        <f t="shared" si="15"/>
        <v>30867080.919999901</v>
      </c>
      <c r="L77" s="1049">
        <f t="shared" si="15"/>
        <v>5426716.21079998</v>
      </c>
      <c r="M77" s="1049"/>
      <c r="N77" s="1056">
        <f t="shared" si="15"/>
        <v>452226.35089999897</v>
      </c>
      <c r="O77" s="1049">
        <v>452226.35089999897</v>
      </c>
      <c r="P77" s="1049">
        <f t="shared" si="15"/>
        <v>0</v>
      </c>
      <c r="Q77" s="754"/>
      <c r="R77" s="436"/>
      <c r="S77" s="436"/>
    </row>
    <row r="78" spans="1:19" ht="15.75">
      <c r="A78" s="421"/>
      <c r="B78" s="597"/>
      <c r="C78" s="1010"/>
      <c r="D78" s="1040"/>
      <c r="E78" s="1010"/>
      <c r="F78" s="1010"/>
      <c r="G78" s="1010"/>
      <c r="H78" s="1035"/>
      <c r="I78" s="882"/>
      <c r="J78" s="1010"/>
      <c r="K78" s="1010"/>
      <c r="L78" s="1010"/>
      <c r="M78" s="431"/>
      <c r="N78" s="1053"/>
      <c r="O78" s="753"/>
      <c r="P78" s="753"/>
      <c r="Q78" s="754"/>
      <c r="R78" s="436"/>
      <c r="S78" s="436"/>
    </row>
    <row r="79" spans="1:19" ht="23.25" customHeight="1">
      <c r="A79" s="421"/>
      <c r="B79" s="812" t="s">
        <v>163</v>
      </c>
      <c r="C79" s="1010"/>
      <c r="D79" s="1040"/>
      <c r="E79" s="1010"/>
      <c r="F79" s="1010"/>
      <c r="G79" s="1010"/>
      <c r="H79" s="715"/>
      <c r="I79" s="882"/>
      <c r="J79" s="1010"/>
      <c r="K79" s="1010"/>
      <c r="L79" s="1010"/>
      <c r="M79" s="431"/>
      <c r="N79" s="1053"/>
      <c r="O79" s="753"/>
      <c r="P79" s="753"/>
      <c r="Q79" s="754"/>
      <c r="R79" s="436"/>
      <c r="S79" s="436"/>
    </row>
    <row r="80" spans="1:19" ht="31.5">
      <c r="A80" s="421">
        <v>1</v>
      </c>
      <c r="B80" s="597" t="s">
        <v>164</v>
      </c>
      <c r="C80" s="1010">
        <v>1085306.75</v>
      </c>
      <c r="D80" s="1040">
        <v>12</v>
      </c>
      <c r="E80" s="1010">
        <f t="shared" si="6"/>
        <v>13023681</v>
      </c>
      <c r="F80" s="1010"/>
      <c r="G80" s="1010">
        <v>166400.85</v>
      </c>
      <c r="H80" s="1035">
        <v>869094.48</v>
      </c>
      <c r="I80" s="882"/>
      <c r="J80" s="1010">
        <f t="shared" si="9"/>
        <v>1035495.33</v>
      </c>
      <c r="K80" s="1010">
        <f t="shared" si="10"/>
        <v>11988185.67</v>
      </c>
      <c r="L80" s="1010">
        <f t="shared" si="11"/>
        <v>1947873.4206000001</v>
      </c>
      <c r="M80" s="431">
        <v>12</v>
      </c>
      <c r="N80" s="1053">
        <f t="shared" si="12"/>
        <v>162322.78505000001</v>
      </c>
      <c r="O80" s="753">
        <v>162322.78505000001</v>
      </c>
      <c r="P80" s="753">
        <f t="shared" si="13"/>
        <v>0</v>
      </c>
      <c r="Q80" s="754"/>
      <c r="R80" s="436"/>
      <c r="S80" s="436"/>
    </row>
    <row r="81" spans="1:19" ht="15.75">
      <c r="A81" s="421">
        <v>2</v>
      </c>
      <c r="B81" s="313" t="s">
        <v>166</v>
      </c>
      <c r="C81" s="1010">
        <v>713911.08333333395</v>
      </c>
      <c r="D81" s="1040">
        <v>12</v>
      </c>
      <c r="E81" s="1010">
        <f t="shared" si="6"/>
        <v>8566933.0000000093</v>
      </c>
      <c r="F81" s="1010"/>
      <c r="G81" s="1010">
        <v>0</v>
      </c>
      <c r="H81" s="1035">
        <v>550954.64000000095</v>
      </c>
      <c r="I81" s="882"/>
      <c r="J81" s="1010">
        <f t="shared" si="9"/>
        <v>550954.64000000095</v>
      </c>
      <c r="K81" s="1010">
        <f t="shared" si="10"/>
        <v>8015978.3600000096</v>
      </c>
      <c r="L81" s="1010">
        <f t="shared" si="11"/>
        <v>1232876.1048000001</v>
      </c>
      <c r="M81" s="431">
        <v>12</v>
      </c>
      <c r="N81" s="1053">
        <f t="shared" si="12"/>
        <v>102739.67539999999</v>
      </c>
      <c r="O81" s="753">
        <v>102739.67539999999</v>
      </c>
      <c r="P81" s="753">
        <f t="shared" si="13"/>
        <v>0</v>
      </c>
      <c r="Q81" s="754"/>
      <c r="R81" s="436"/>
      <c r="S81" s="436"/>
    </row>
    <row r="82" spans="1:19" ht="15.75">
      <c r="A82" s="421">
        <v>3</v>
      </c>
      <c r="B82" s="593" t="s">
        <v>167</v>
      </c>
      <c r="C82" s="1010">
        <v>617472.75</v>
      </c>
      <c r="D82" s="1040">
        <v>12</v>
      </c>
      <c r="E82" s="1010">
        <f t="shared" si="6"/>
        <v>7409673</v>
      </c>
      <c r="F82" s="1010"/>
      <c r="G82" s="1010">
        <v>93501.975000000006</v>
      </c>
      <c r="H82" s="1035">
        <v>477573.84</v>
      </c>
      <c r="I82" s="882"/>
      <c r="J82" s="1010">
        <f t="shared" si="9"/>
        <v>571075.81499999994</v>
      </c>
      <c r="K82" s="1010">
        <f t="shared" si="10"/>
        <v>6838597.1849999996</v>
      </c>
      <c r="L82" s="1010">
        <f t="shared" si="11"/>
        <v>1020947.4933</v>
      </c>
      <c r="M82" s="431">
        <v>12</v>
      </c>
      <c r="N82" s="1053">
        <f t="shared" si="12"/>
        <v>85078.957775000003</v>
      </c>
      <c r="O82" s="753">
        <v>85078.957775000003</v>
      </c>
      <c r="P82" s="753">
        <f t="shared" si="13"/>
        <v>0</v>
      </c>
      <c r="Q82" s="754"/>
      <c r="R82" s="436"/>
      <c r="S82" s="436"/>
    </row>
    <row r="83" spans="1:19" ht="15.75">
      <c r="A83" s="421">
        <v>4</v>
      </c>
      <c r="B83" s="597" t="s">
        <v>169</v>
      </c>
      <c r="C83" s="1010">
        <v>617472.75</v>
      </c>
      <c r="D83" s="1040">
        <v>12</v>
      </c>
      <c r="E83" s="1010">
        <f t="shared" si="6"/>
        <v>7409673</v>
      </c>
      <c r="F83" s="1010"/>
      <c r="G83" s="1010">
        <v>93501.975000000006</v>
      </c>
      <c r="H83" s="1035">
        <v>477573.84</v>
      </c>
      <c r="I83" s="882"/>
      <c r="J83" s="1010">
        <f t="shared" si="9"/>
        <v>571075.81499999994</v>
      </c>
      <c r="K83" s="1010">
        <f t="shared" si="10"/>
        <v>6838597.1849999996</v>
      </c>
      <c r="L83" s="1010">
        <f t="shared" si="11"/>
        <v>1020947.4933</v>
      </c>
      <c r="M83" s="431">
        <v>12</v>
      </c>
      <c r="N83" s="1053">
        <f t="shared" si="12"/>
        <v>85078.957775000003</v>
      </c>
      <c r="O83" s="753">
        <v>85078.957775000003</v>
      </c>
      <c r="P83" s="753">
        <f t="shared" si="13"/>
        <v>0</v>
      </c>
      <c r="Q83" s="754"/>
      <c r="R83" s="436"/>
      <c r="S83" s="436"/>
    </row>
    <row r="84" spans="1:19" ht="31.5">
      <c r="A84" s="421">
        <v>5</v>
      </c>
      <c r="B84" s="597" t="s">
        <v>170</v>
      </c>
      <c r="C84" s="1010">
        <v>616972.66129032196</v>
      </c>
      <c r="D84" s="1040">
        <v>12</v>
      </c>
      <c r="E84" s="1010">
        <f t="shared" si="6"/>
        <v>7403671.9354838599</v>
      </c>
      <c r="F84" s="1010"/>
      <c r="G84" s="1010">
        <v>90863.600000000093</v>
      </c>
      <c r="H84" s="1035">
        <v>463356.15999999997</v>
      </c>
      <c r="I84" s="882"/>
      <c r="J84" s="1010">
        <f t="shared" si="9"/>
        <v>554219.76</v>
      </c>
      <c r="K84" s="1010">
        <f t="shared" si="10"/>
        <v>6849452.1754838601</v>
      </c>
      <c r="L84" s="1010">
        <f t="shared" si="11"/>
        <v>1022901.3915871</v>
      </c>
      <c r="M84" s="431">
        <v>12</v>
      </c>
      <c r="N84" s="1053">
        <f t="shared" si="12"/>
        <v>85241.782632257906</v>
      </c>
      <c r="O84" s="753">
        <v>85241.782632257906</v>
      </c>
      <c r="P84" s="753">
        <f t="shared" si="13"/>
        <v>0</v>
      </c>
      <c r="Q84" s="754"/>
      <c r="R84" s="436"/>
      <c r="S84" s="436"/>
    </row>
    <row r="85" spans="1:19" ht="15.75">
      <c r="A85" s="421">
        <v>6</v>
      </c>
      <c r="B85" s="597" t="s">
        <v>171</v>
      </c>
      <c r="C85" s="1010">
        <v>592662.66666666698</v>
      </c>
      <c r="D85" s="1040">
        <v>12</v>
      </c>
      <c r="E85" s="1010">
        <f t="shared" si="6"/>
        <v>7111952</v>
      </c>
      <c r="F85" s="1010"/>
      <c r="G85" s="1010">
        <v>0</v>
      </c>
      <c r="H85" s="1035">
        <v>463356.15999999997</v>
      </c>
      <c r="I85" s="882"/>
      <c r="J85" s="1010">
        <f t="shared" si="9"/>
        <v>463356.15999999997</v>
      </c>
      <c r="K85" s="1010">
        <f t="shared" si="10"/>
        <v>6648595.8399999999</v>
      </c>
      <c r="L85" s="1010">
        <f t="shared" si="11"/>
        <v>986747.25120000099</v>
      </c>
      <c r="M85" s="431">
        <v>12</v>
      </c>
      <c r="N85" s="1053">
        <f t="shared" si="12"/>
        <v>82228.937600000005</v>
      </c>
      <c r="O85" s="753">
        <v>82228.937600000005</v>
      </c>
      <c r="P85" s="753">
        <f t="shared" si="13"/>
        <v>0</v>
      </c>
      <c r="Q85" s="754"/>
      <c r="R85" s="436"/>
      <c r="S85" s="436"/>
    </row>
    <row r="86" spans="1:19" ht="15.75">
      <c r="A86" s="421">
        <v>7</v>
      </c>
      <c r="B86" s="597" t="s">
        <v>173</v>
      </c>
      <c r="C86" s="1010">
        <v>592662.66666666698</v>
      </c>
      <c r="D86" s="1040">
        <v>12</v>
      </c>
      <c r="E86" s="1010">
        <f t="shared" si="6"/>
        <v>7111952</v>
      </c>
      <c r="F86" s="1010"/>
      <c r="G86" s="1010">
        <v>0</v>
      </c>
      <c r="H86" s="1035">
        <v>463356.15999999997</v>
      </c>
      <c r="I86" s="882"/>
      <c r="J86" s="1010">
        <f t="shared" si="9"/>
        <v>463356.15999999997</v>
      </c>
      <c r="K86" s="1010">
        <f t="shared" si="10"/>
        <v>6648595.8399999999</v>
      </c>
      <c r="L86" s="1010">
        <f t="shared" si="11"/>
        <v>986747.25120000099</v>
      </c>
      <c r="M86" s="431">
        <v>12</v>
      </c>
      <c r="N86" s="1053">
        <f t="shared" si="12"/>
        <v>82228.937600000005</v>
      </c>
      <c r="O86" s="753">
        <v>82228.937600000005</v>
      </c>
      <c r="P86" s="753">
        <f t="shared" si="13"/>
        <v>0</v>
      </c>
      <c r="Q86" s="754"/>
      <c r="R86" s="436"/>
      <c r="S86" s="436"/>
    </row>
    <row r="87" spans="1:19" ht="15.75">
      <c r="A87" s="421">
        <v>8</v>
      </c>
      <c r="B87" s="597" t="s">
        <v>174</v>
      </c>
      <c r="C87" s="1010">
        <v>602846.58333333302</v>
      </c>
      <c r="D87" s="1040">
        <v>12</v>
      </c>
      <c r="E87" s="1010">
        <f t="shared" si="6"/>
        <v>7234159</v>
      </c>
      <c r="F87" s="1010"/>
      <c r="G87" s="1010">
        <v>0</v>
      </c>
      <c r="H87" s="1035">
        <v>463532.72</v>
      </c>
      <c r="I87" s="882"/>
      <c r="J87" s="1010">
        <f t="shared" si="9"/>
        <v>463532.72</v>
      </c>
      <c r="K87" s="1010">
        <f t="shared" si="10"/>
        <v>6770626.2800000003</v>
      </c>
      <c r="L87" s="1010">
        <f t="shared" si="11"/>
        <v>1008712.7304</v>
      </c>
      <c r="M87" s="431">
        <v>12</v>
      </c>
      <c r="N87" s="1053">
        <f t="shared" si="12"/>
        <v>84059.394199999893</v>
      </c>
      <c r="O87" s="753">
        <v>84059.394199999893</v>
      </c>
      <c r="P87" s="753">
        <f t="shared" si="13"/>
        <v>0</v>
      </c>
      <c r="Q87" s="754"/>
      <c r="R87" s="436"/>
      <c r="S87" s="436"/>
    </row>
    <row r="88" spans="1:19" ht="15.75">
      <c r="A88" s="421">
        <v>9</v>
      </c>
      <c r="B88" s="597" t="s">
        <v>176</v>
      </c>
      <c r="C88" s="1010">
        <v>564993.58333333302</v>
      </c>
      <c r="D88" s="1040">
        <v>12</v>
      </c>
      <c r="E88" s="1010">
        <f t="shared" si="6"/>
        <v>6779923</v>
      </c>
      <c r="F88" s="1010"/>
      <c r="G88" s="1010">
        <v>85934.124999999898</v>
      </c>
      <c r="H88" s="1035">
        <v>436793.84</v>
      </c>
      <c r="I88" s="882"/>
      <c r="J88" s="1010">
        <f t="shared" si="9"/>
        <v>522727.96500000003</v>
      </c>
      <c r="K88" s="1010">
        <f t="shared" si="10"/>
        <v>6257195.0350000001</v>
      </c>
      <c r="L88" s="1010">
        <f t="shared" si="11"/>
        <v>916295.10629999905</v>
      </c>
      <c r="M88" s="431">
        <v>12</v>
      </c>
      <c r="N88" s="1053">
        <f t="shared" si="12"/>
        <v>76357.925524999897</v>
      </c>
      <c r="O88" s="753">
        <v>76357.925524999897</v>
      </c>
      <c r="P88" s="753">
        <f t="shared" si="13"/>
        <v>0</v>
      </c>
      <c r="Q88" s="754"/>
      <c r="R88" s="436"/>
      <c r="S88" s="436"/>
    </row>
    <row r="89" spans="1:19" s="870" customFormat="1" ht="15.75">
      <c r="A89" s="1042">
        <v>10</v>
      </c>
      <c r="B89" s="1043" t="s">
        <v>178</v>
      </c>
      <c r="C89" s="1046">
        <v>1551827.6611111099</v>
      </c>
      <c r="D89" s="1045">
        <v>12</v>
      </c>
      <c r="E89" s="1046">
        <f t="shared" si="6"/>
        <v>18621931.9333333</v>
      </c>
      <c r="F89" s="1046">
        <v>500000</v>
      </c>
      <c r="G89" s="1046">
        <v>75440.375000000102</v>
      </c>
      <c r="H89" s="1048">
        <v>383165.92</v>
      </c>
      <c r="I89" s="1068"/>
      <c r="J89" s="1046">
        <f t="shared" si="9"/>
        <v>958606.29500000004</v>
      </c>
      <c r="K89" s="1046">
        <f t="shared" si="10"/>
        <v>17663325.638333298</v>
      </c>
      <c r="L89" s="1046">
        <f t="shared" si="11"/>
        <v>3139298.38404998</v>
      </c>
      <c r="M89" s="1054">
        <v>12</v>
      </c>
      <c r="N89" s="1046">
        <f t="shared" si="12"/>
        <v>261608.198670832</v>
      </c>
      <c r="O89" s="1055">
        <v>270358.19867083197</v>
      </c>
      <c r="P89" s="1055">
        <f t="shared" si="13"/>
        <v>-8749.9999999999709</v>
      </c>
      <c r="Q89" s="1060"/>
      <c r="R89" s="1061"/>
      <c r="S89" s="1061"/>
    </row>
    <row r="90" spans="1:19" ht="20.100000000000001" customHeight="1">
      <c r="A90" s="421">
        <v>11</v>
      </c>
      <c r="B90" s="597" t="s">
        <v>180</v>
      </c>
      <c r="C90" s="1010">
        <v>438711.66666666698</v>
      </c>
      <c r="D90" s="1040">
        <v>12</v>
      </c>
      <c r="E90" s="1010">
        <f t="shared" si="6"/>
        <v>5264540</v>
      </c>
      <c r="F90" s="1010"/>
      <c r="G90" s="1010">
        <v>0</v>
      </c>
      <c r="H90" s="882">
        <v>325163.2</v>
      </c>
      <c r="I90" s="882"/>
      <c r="J90" s="1010">
        <f t="shared" si="9"/>
        <v>325163.2</v>
      </c>
      <c r="K90" s="1010">
        <f t="shared" si="10"/>
        <v>4939376.8</v>
      </c>
      <c r="L90" s="1010">
        <f t="shared" si="11"/>
        <v>679087.82400000095</v>
      </c>
      <c r="M90" s="431">
        <v>12</v>
      </c>
      <c r="N90" s="1053">
        <f t="shared" si="12"/>
        <v>56590.652000000096</v>
      </c>
      <c r="O90" s="753">
        <v>56590.652000000096</v>
      </c>
      <c r="P90" s="753">
        <f t="shared" si="13"/>
        <v>0</v>
      </c>
      <c r="Q90" s="754"/>
      <c r="R90" s="436"/>
      <c r="S90" s="436"/>
    </row>
    <row r="91" spans="1:19" ht="15.75">
      <c r="A91" s="421"/>
      <c r="B91" s="809"/>
      <c r="C91" s="1049">
        <f>SUM(C80:C90)</f>
        <v>7994840.8224014305</v>
      </c>
      <c r="D91" s="1050"/>
      <c r="E91" s="1049">
        <f t="shared" ref="E91:P91" si="16">SUM(E80:E90)</f>
        <v>95938089.868817106</v>
      </c>
      <c r="F91" s="1049"/>
      <c r="G91" s="1049">
        <f t="shared" si="16"/>
        <v>605642.9</v>
      </c>
      <c r="H91" s="1049">
        <f t="shared" si="16"/>
        <v>5373920.96</v>
      </c>
      <c r="I91" s="1049"/>
      <c r="J91" s="1049">
        <f t="shared" si="16"/>
        <v>6479563.8600000003</v>
      </c>
      <c r="K91" s="1049">
        <f t="shared" si="16"/>
        <v>89458526.008817106</v>
      </c>
      <c r="L91" s="1049">
        <f t="shared" si="16"/>
        <v>13962434.4507371</v>
      </c>
      <c r="M91" s="1049"/>
      <c r="N91" s="1056">
        <f t="shared" si="16"/>
        <v>1163536.2042280899</v>
      </c>
      <c r="O91" s="1049">
        <v>1172286.2042280899</v>
      </c>
      <c r="P91" s="1049">
        <f t="shared" si="16"/>
        <v>-8749.9999999999709</v>
      </c>
      <c r="Q91" s="754"/>
      <c r="R91" s="436"/>
      <c r="S91" s="436"/>
    </row>
    <row r="92" spans="1:19" ht="15.75">
      <c r="A92" s="421"/>
      <c r="B92" s="597"/>
      <c r="C92" s="1010"/>
      <c r="D92" s="1040"/>
      <c r="E92" s="1010"/>
      <c r="F92" s="1010"/>
      <c r="G92" s="1010"/>
      <c r="H92" s="1035"/>
      <c r="I92" s="882"/>
      <c r="J92" s="1010"/>
      <c r="K92" s="1010"/>
      <c r="L92" s="1010"/>
      <c r="M92" s="431"/>
      <c r="N92" s="1053"/>
      <c r="O92" s="753"/>
      <c r="P92" s="753"/>
      <c r="Q92" s="754"/>
      <c r="R92" s="436"/>
      <c r="S92" s="436"/>
    </row>
    <row r="93" spans="1:19" ht="15.75">
      <c r="A93" s="421"/>
      <c r="B93" s="809" t="s">
        <v>182</v>
      </c>
      <c r="C93" s="1010"/>
      <c r="D93" s="1040"/>
      <c r="E93" s="1010"/>
      <c r="F93" s="1010"/>
      <c r="G93" s="1010"/>
      <c r="H93" s="1035"/>
      <c r="I93" s="882"/>
      <c r="J93" s="1010"/>
      <c r="K93" s="1010"/>
      <c r="L93" s="1010"/>
      <c r="M93" s="431"/>
      <c r="N93" s="1053"/>
      <c r="O93" s="753"/>
      <c r="P93" s="753"/>
      <c r="Q93" s="754"/>
      <c r="R93" s="436"/>
      <c r="S93" s="436"/>
    </row>
    <row r="94" spans="1:19" ht="15.75">
      <c r="A94" s="421">
        <v>1</v>
      </c>
      <c r="B94" s="597" t="s">
        <v>183</v>
      </c>
      <c r="C94" s="1010">
        <v>1947106.41666666</v>
      </c>
      <c r="D94" s="1040">
        <v>12</v>
      </c>
      <c r="E94" s="1010">
        <f t="shared" si="6"/>
        <v>23365276.999999899</v>
      </c>
      <c r="F94" s="1010"/>
      <c r="G94" s="1010">
        <v>0</v>
      </c>
      <c r="H94" s="1035">
        <v>1677222.1599999899</v>
      </c>
      <c r="I94" s="882"/>
      <c r="J94" s="1010">
        <f t="shared" si="9"/>
        <v>1677222.1599999899</v>
      </c>
      <c r="K94" s="1010">
        <f t="shared" si="10"/>
        <v>21688054.839999899</v>
      </c>
      <c r="L94" s="1010">
        <f t="shared" si="11"/>
        <v>3984491.5163999898</v>
      </c>
      <c r="M94" s="431">
        <v>12</v>
      </c>
      <c r="N94" s="1053">
        <f t="shared" si="12"/>
        <v>332040.95969999902</v>
      </c>
      <c r="O94" s="753">
        <v>332040.95969999902</v>
      </c>
      <c r="P94" s="753">
        <f t="shared" si="13"/>
        <v>0</v>
      </c>
      <c r="Q94" s="754"/>
      <c r="R94" s="436"/>
      <c r="S94" s="436"/>
    </row>
    <row r="95" spans="1:19" ht="31.5">
      <c r="A95" s="421">
        <v>2</v>
      </c>
      <c r="B95" s="597" t="s">
        <v>185</v>
      </c>
      <c r="C95" s="1010">
        <v>882595.5</v>
      </c>
      <c r="D95" s="1040">
        <v>12</v>
      </c>
      <c r="E95" s="1010">
        <f t="shared" si="6"/>
        <v>10591146</v>
      </c>
      <c r="F95" s="1010"/>
      <c r="G95" s="1010">
        <v>0</v>
      </c>
      <c r="H95" s="1035">
        <v>693691.68</v>
      </c>
      <c r="I95" s="882"/>
      <c r="J95" s="1010">
        <f t="shared" si="9"/>
        <v>693691.68</v>
      </c>
      <c r="K95" s="1010">
        <f t="shared" si="10"/>
        <v>9897454.3200000003</v>
      </c>
      <c r="L95" s="1010">
        <f t="shared" si="11"/>
        <v>1571541.7775999999</v>
      </c>
      <c r="M95" s="431">
        <v>12</v>
      </c>
      <c r="N95" s="1053">
        <f t="shared" si="12"/>
        <v>130961.81479999999</v>
      </c>
      <c r="O95" s="753">
        <v>130961.81479999999</v>
      </c>
      <c r="P95" s="753">
        <f t="shared" si="13"/>
        <v>0</v>
      </c>
      <c r="Q95" s="754"/>
      <c r="R95" s="436"/>
      <c r="S95" s="436"/>
    </row>
    <row r="96" spans="1:19" ht="15.75">
      <c r="A96" s="421">
        <v>3</v>
      </c>
      <c r="B96" s="597" t="s">
        <v>187</v>
      </c>
      <c r="C96" s="1010">
        <v>882595.5</v>
      </c>
      <c r="D96" s="1040">
        <v>12</v>
      </c>
      <c r="E96" s="1010">
        <f t="shared" si="6"/>
        <v>10591146</v>
      </c>
      <c r="F96" s="1010"/>
      <c r="G96" s="1010">
        <v>0</v>
      </c>
      <c r="H96" s="1035">
        <v>693691.68</v>
      </c>
      <c r="I96" s="882"/>
      <c r="J96" s="1010">
        <f t="shared" si="9"/>
        <v>693691.68</v>
      </c>
      <c r="K96" s="1010">
        <f t="shared" si="10"/>
        <v>9897454.3200000003</v>
      </c>
      <c r="L96" s="1010">
        <f t="shared" si="11"/>
        <v>1571541.7775999999</v>
      </c>
      <c r="M96" s="431">
        <v>12</v>
      </c>
      <c r="N96" s="1053">
        <f t="shared" si="12"/>
        <v>130961.81479999999</v>
      </c>
      <c r="O96" s="753">
        <v>130961.81479999999</v>
      </c>
      <c r="P96" s="753">
        <f t="shared" si="13"/>
        <v>0</v>
      </c>
      <c r="Q96" s="754"/>
      <c r="R96" s="436"/>
      <c r="S96" s="436"/>
    </row>
    <row r="97" spans="1:19" ht="20.100000000000001" customHeight="1">
      <c r="A97" s="421">
        <v>4</v>
      </c>
      <c r="B97" s="597" t="s">
        <v>189</v>
      </c>
      <c r="C97" s="1010">
        <v>729657</v>
      </c>
      <c r="D97" s="1040">
        <v>12</v>
      </c>
      <c r="E97" s="1010">
        <f t="shared" si="6"/>
        <v>8755884</v>
      </c>
      <c r="F97" s="1010"/>
      <c r="G97" s="1010">
        <v>109925.25</v>
      </c>
      <c r="H97" s="1035">
        <v>566070.72</v>
      </c>
      <c r="I97" s="882"/>
      <c r="J97" s="1010">
        <f t="shared" si="9"/>
        <v>675995.97</v>
      </c>
      <c r="K97" s="1010">
        <f t="shared" si="10"/>
        <v>8079888.0300000003</v>
      </c>
      <c r="L97" s="1010">
        <f t="shared" si="11"/>
        <v>1244379.8454</v>
      </c>
      <c r="M97" s="431">
        <v>12</v>
      </c>
      <c r="N97" s="1053">
        <f t="shared" si="12"/>
        <v>103698.32045</v>
      </c>
      <c r="O97" s="753">
        <v>103698.32045</v>
      </c>
      <c r="P97" s="753">
        <f t="shared" si="13"/>
        <v>0</v>
      </c>
      <c r="Q97" s="754"/>
      <c r="R97" s="436"/>
      <c r="S97" s="436"/>
    </row>
    <row r="98" spans="1:19" ht="20.100000000000001" customHeight="1">
      <c r="A98" s="421">
        <v>5</v>
      </c>
      <c r="B98" s="597" t="s">
        <v>192</v>
      </c>
      <c r="C98" s="1010">
        <v>617472.75</v>
      </c>
      <c r="D98" s="1040">
        <v>12</v>
      </c>
      <c r="E98" s="1010">
        <f t="shared" si="6"/>
        <v>7409673</v>
      </c>
      <c r="F98" s="1010"/>
      <c r="G98" s="1010">
        <v>93501.975000000006</v>
      </c>
      <c r="H98" s="1035">
        <v>477573.84</v>
      </c>
      <c r="I98" s="882"/>
      <c r="J98" s="1010">
        <f t="shared" si="9"/>
        <v>571075.81499999994</v>
      </c>
      <c r="K98" s="1010">
        <f t="shared" si="10"/>
        <v>6838597.1849999996</v>
      </c>
      <c r="L98" s="1010">
        <f t="shared" si="11"/>
        <v>1020947.4933</v>
      </c>
      <c r="M98" s="431">
        <v>12</v>
      </c>
      <c r="N98" s="1053">
        <f t="shared" si="12"/>
        <v>85078.957775000003</v>
      </c>
      <c r="O98" s="753">
        <v>85078.957775000003</v>
      </c>
      <c r="P98" s="753">
        <f t="shared" si="13"/>
        <v>0</v>
      </c>
      <c r="Q98" s="754"/>
      <c r="R98" s="436"/>
      <c r="S98" s="436"/>
    </row>
    <row r="99" spans="1:19" ht="20.100000000000001" customHeight="1">
      <c r="A99" s="421">
        <v>6</v>
      </c>
      <c r="B99" s="597" t="s">
        <v>194</v>
      </c>
      <c r="C99" s="1010">
        <v>617472.75</v>
      </c>
      <c r="D99" s="1040">
        <v>12</v>
      </c>
      <c r="E99" s="1010">
        <f t="shared" si="6"/>
        <v>7409673</v>
      </c>
      <c r="F99" s="1010"/>
      <c r="G99" s="1010">
        <v>0</v>
      </c>
      <c r="H99" s="1035">
        <v>477573.84</v>
      </c>
      <c r="I99" s="882"/>
      <c r="J99" s="1010">
        <f t="shared" si="9"/>
        <v>477573.84</v>
      </c>
      <c r="K99" s="1010">
        <f t="shared" si="10"/>
        <v>6932099.1600000001</v>
      </c>
      <c r="L99" s="1010">
        <f t="shared" si="11"/>
        <v>1037777.8488</v>
      </c>
      <c r="M99" s="431">
        <v>12</v>
      </c>
      <c r="N99" s="1053">
        <f t="shared" si="12"/>
        <v>86481.487399999998</v>
      </c>
      <c r="O99" s="753">
        <v>86481.487399999998</v>
      </c>
      <c r="P99" s="753">
        <f t="shared" si="13"/>
        <v>0</v>
      </c>
      <c r="Q99" s="754"/>
      <c r="R99" s="436"/>
      <c r="S99" s="436"/>
    </row>
    <row r="100" spans="1:19" ht="20.100000000000001" customHeight="1">
      <c r="A100" s="421">
        <v>7</v>
      </c>
      <c r="B100" s="597" t="s">
        <v>196</v>
      </c>
      <c r="C100" s="1010">
        <v>578828.16666666698</v>
      </c>
      <c r="D100" s="1040">
        <v>12</v>
      </c>
      <c r="E100" s="1010">
        <f t="shared" si="6"/>
        <v>6945938</v>
      </c>
      <c r="F100" s="1010"/>
      <c r="G100" s="1010">
        <v>88398.875000000102</v>
      </c>
      <c r="H100" s="1035">
        <v>450075.04</v>
      </c>
      <c r="I100" s="882"/>
      <c r="J100" s="1010">
        <f t="shared" si="9"/>
        <v>538473.91500000004</v>
      </c>
      <c r="K100" s="1010">
        <f t="shared" si="10"/>
        <v>6407464.085</v>
      </c>
      <c r="L100" s="1010">
        <f t="shared" si="11"/>
        <v>943343.53530000104</v>
      </c>
      <c r="M100" s="431">
        <v>12</v>
      </c>
      <c r="N100" s="1053">
        <f t="shared" si="12"/>
        <v>78611.961275000096</v>
      </c>
      <c r="O100" s="753">
        <v>78611.961275000096</v>
      </c>
      <c r="P100" s="753">
        <f t="shared" si="13"/>
        <v>0</v>
      </c>
      <c r="Q100" s="754"/>
      <c r="R100" s="436"/>
      <c r="S100" s="436"/>
    </row>
    <row r="101" spans="1:19" ht="20.100000000000001" customHeight="1">
      <c r="A101" s="421">
        <v>8</v>
      </c>
      <c r="B101" s="597" t="s">
        <v>198</v>
      </c>
      <c r="C101" s="1010">
        <v>481140.66666666599</v>
      </c>
      <c r="D101" s="1040">
        <v>12</v>
      </c>
      <c r="E101" s="1010">
        <f t="shared" ref="E101:E163" si="17">C101*D101</f>
        <v>5773687.9999999898</v>
      </c>
      <c r="F101" s="1010"/>
      <c r="G101" s="1010">
        <v>0</v>
      </c>
      <c r="H101" s="1035">
        <v>365895.03999999899</v>
      </c>
      <c r="I101" s="882"/>
      <c r="J101" s="1010">
        <f t="shared" si="9"/>
        <v>365895.03999999899</v>
      </c>
      <c r="K101" s="1010">
        <f t="shared" si="10"/>
        <v>5407792.9599999897</v>
      </c>
      <c r="L101" s="1010">
        <f t="shared" si="11"/>
        <v>763402.73279999895</v>
      </c>
      <c r="M101" s="431">
        <v>12</v>
      </c>
      <c r="N101" s="1053">
        <f t="shared" si="12"/>
        <v>63616.894399999903</v>
      </c>
      <c r="O101" s="753">
        <v>63616.894399999903</v>
      </c>
      <c r="P101" s="753">
        <f t="shared" si="13"/>
        <v>0</v>
      </c>
      <c r="Q101" s="754"/>
      <c r="R101" s="436"/>
      <c r="S101" s="436"/>
    </row>
    <row r="102" spans="1:19" ht="20.100000000000001" customHeight="1">
      <c r="A102" s="421">
        <v>9</v>
      </c>
      <c r="B102" s="597" t="s">
        <v>200</v>
      </c>
      <c r="C102" s="1010">
        <v>447016.16666666599</v>
      </c>
      <c r="D102" s="1040">
        <v>12</v>
      </c>
      <c r="E102" s="1010">
        <f t="shared" si="17"/>
        <v>5364193.9999999898</v>
      </c>
      <c r="F102" s="1010"/>
      <c r="G102" s="1010">
        <v>66802.374999999898</v>
      </c>
      <c r="H102" s="1035">
        <v>333135.51999999903</v>
      </c>
      <c r="I102" s="882"/>
      <c r="J102" s="1010">
        <f t="shared" si="9"/>
        <v>399937.89499999903</v>
      </c>
      <c r="K102" s="1010">
        <f t="shared" si="10"/>
        <v>4964256.1049999902</v>
      </c>
      <c r="L102" s="1010">
        <f t="shared" si="11"/>
        <v>683566.09889999905</v>
      </c>
      <c r="M102" s="431">
        <v>12</v>
      </c>
      <c r="N102" s="1053">
        <f t="shared" si="12"/>
        <v>56963.841574999897</v>
      </c>
      <c r="O102" s="753">
        <v>56963.841574999897</v>
      </c>
      <c r="P102" s="753">
        <f t="shared" si="13"/>
        <v>0</v>
      </c>
      <c r="Q102" s="754"/>
      <c r="R102" s="436"/>
      <c r="S102" s="436"/>
    </row>
    <row r="103" spans="1:19" ht="15.75">
      <c r="A103" s="421">
        <v>10</v>
      </c>
      <c r="B103" s="597" t="s">
        <v>201</v>
      </c>
      <c r="C103" s="1010">
        <v>438711.66666666698</v>
      </c>
      <c r="D103" s="1040">
        <v>12</v>
      </c>
      <c r="E103" s="1010">
        <f t="shared" si="17"/>
        <v>5264540</v>
      </c>
      <c r="F103" s="1010"/>
      <c r="G103" s="1010">
        <v>0</v>
      </c>
      <c r="H103" s="882">
        <v>325163.2</v>
      </c>
      <c r="I103" s="882"/>
      <c r="J103" s="1010">
        <f t="shared" si="9"/>
        <v>325163.2</v>
      </c>
      <c r="K103" s="1010">
        <f t="shared" si="10"/>
        <v>4939376.8</v>
      </c>
      <c r="L103" s="1010">
        <f t="shared" si="11"/>
        <v>679087.82400000095</v>
      </c>
      <c r="M103" s="431">
        <v>12</v>
      </c>
      <c r="N103" s="1053">
        <f t="shared" si="12"/>
        <v>56590.652000000096</v>
      </c>
      <c r="O103" s="753">
        <v>56590.652000000096</v>
      </c>
      <c r="P103" s="753">
        <f t="shared" si="13"/>
        <v>0</v>
      </c>
      <c r="Q103" s="754"/>
      <c r="R103" s="436"/>
      <c r="S103" s="436"/>
    </row>
    <row r="104" spans="1:19" ht="15.75">
      <c r="A104" s="421">
        <v>11</v>
      </c>
      <c r="B104" s="597" t="s">
        <v>202</v>
      </c>
      <c r="C104" s="1010">
        <v>408920.66666666698</v>
      </c>
      <c r="D104" s="1040">
        <v>12</v>
      </c>
      <c r="E104" s="1010">
        <f t="shared" si="17"/>
        <v>4907048</v>
      </c>
      <c r="F104" s="754"/>
      <c r="G104" s="754">
        <v>0</v>
      </c>
      <c r="H104" s="754">
        <v>296563.84000000003</v>
      </c>
      <c r="I104" s="754"/>
      <c r="J104" s="1010">
        <f t="shared" si="9"/>
        <v>296563.84000000003</v>
      </c>
      <c r="K104" s="1010">
        <f t="shared" si="10"/>
        <v>4610484.16</v>
      </c>
      <c r="L104" s="1010">
        <f t="shared" si="11"/>
        <v>619887.14880000101</v>
      </c>
      <c r="M104" s="431">
        <v>12</v>
      </c>
      <c r="N104" s="1053">
        <f t="shared" si="12"/>
        <v>51657.262400000101</v>
      </c>
      <c r="O104" s="753">
        <v>51657.262400000101</v>
      </c>
      <c r="P104" s="753">
        <f t="shared" si="13"/>
        <v>0</v>
      </c>
      <c r="Q104" s="754"/>
      <c r="R104" s="436"/>
      <c r="S104" s="436"/>
    </row>
    <row r="105" spans="1:19" ht="15.75">
      <c r="A105" s="421"/>
      <c r="B105" s="597" t="s">
        <v>120</v>
      </c>
      <c r="C105" s="1049">
        <f>SUM(C94:C104)</f>
        <v>8031517.2499999898</v>
      </c>
      <c r="D105" s="1050"/>
      <c r="E105" s="1049">
        <f t="shared" ref="E105:P105" si="18">SUM(E94:E104)</f>
        <v>96378206.999999896</v>
      </c>
      <c r="F105" s="1049"/>
      <c r="G105" s="1049">
        <f t="shared" si="18"/>
        <v>358628.47499999998</v>
      </c>
      <c r="H105" s="1049">
        <f t="shared" si="18"/>
        <v>6356656.5599999903</v>
      </c>
      <c r="I105" s="1049"/>
      <c r="J105" s="1049">
        <f t="shared" si="18"/>
        <v>6715285.0349999899</v>
      </c>
      <c r="K105" s="1049">
        <f t="shared" si="18"/>
        <v>89662921.964999899</v>
      </c>
      <c r="L105" s="1049">
        <f t="shared" si="18"/>
        <v>14119967.5989</v>
      </c>
      <c r="M105" s="1049"/>
      <c r="N105" s="1056">
        <f t="shared" si="18"/>
        <v>1176663.966575</v>
      </c>
      <c r="O105" s="1049">
        <v>1176663.966575</v>
      </c>
      <c r="P105" s="1049">
        <f t="shared" si="18"/>
        <v>0</v>
      </c>
      <c r="Q105" s="754"/>
      <c r="R105" s="436"/>
      <c r="S105" s="436"/>
    </row>
    <row r="106" spans="1:19" ht="15.75">
      <c r="A106" s="421"/>
      <c r="B106" s="597"/>
      <c r="C106" s="1010"/>
      <c r="D106" s="1040"/>
      <c r="E106" s="1010"/>
      <c r="F106" s="1010"/>
      <c r="G106" s="1010"/>
      <c r="H106" s="1035"/>
      <c r="I106" s="882"/>
      <c r="J106" s="1010"/>
      <c r="K106" s="1010"/>
      <c r="L106" s="1010"/>
      <c r="M106" s="431"/>
      <c r="N106" s="1053"/>
      <c r="O106" s="1010"/>
      <c r="P106" s="753"/>
      <c r="Q106" s="754"/>
      <c r="R106" s="436"/>
      <c r="S106" s="436"/>
    </row>
    <row r="107" spans="1:19" ht="31.5">
      <c r="A107" s="421"/>
      <c r="B107" s="809" t="s">
        <v>204</v>
      </c>
      <c r="C107" s="1010"/>
      <c r="D107" s="1040"/>
      <c r="E107" s="1010"/>
      <c r="F107" s="1010"/>
      <c r="G107" s="1010"/>
      <c r="H107" s="1035"/>
      <c r="I107" s="882"/>
      <c r="J107" s="1010"/>
      <c r="K107" s="1010"/>
      <c r="L107" s="1010"/>
      <c r="M107" s="431"/>
      <c r="N107" s="1053"/>
      <c r="O107" s="1010"/>
      <c r="P107" s="753"/>
      <c r="Q107" s="754"/>
      <c r="R107" s="436"/>
      <c r="S107" s="436"/>
    </row>
    <row r="108" spans="1:19" ht="15.75">
      <c r="A108" s="421">
        <v>1</v>
      </c>
      <c r="B108" s="597" t="s">
        <v>205</v>
      </c>
      <c r="C108" s="1010">
        <v>1897359.33333333</v>
      </c>
      <c r="D108" s="1040">
        <v>12</v>
      </c>
      <c r="E108" s="1010">
        <f t="shared" si="17"/>
        <v>22768312</v>
      </c>
      <c r="F108" s="1010"/>
      <c r="G108" s="1010">
        <v>316881.84999999899</v>
      </c>
      <c r="H108" s="1035">
        <v>1629464.96</v>
      </c>
      <c r="I108" s="882"/>
      <c r="J108" s="1010">
        <f t="shared" si="9"/>
        <v>1946346.81</v>
      </c>
      <c r="K108" s="1010">
        <f t="shared" si="10"/>
        <v>20821965.190000001</v>
      </c>
      <c r="L108" s="1010">
        <f t="shared" si="11"/>
        <v>3802612.6898999899</v>
      </c>
      <c r="M108" s="431">
        <v>12</v>
      </c>
      <c r="N108" s="1053">
        <f t="shared" si="12"/>
        <v>316884.39082499902</v>
      </c>
      <c r="O108" s="1010">
        <v>316884.39082499902</v>
      </c>
      <c r="P108" s="753">
        <f t="shared" si="13"/>
        <v>0</v>
      </c>
      <c r="Q108" s="754"/>
      <c r="R108" s="436"/>
      <c r="S108" s="436"/>
    </row>
    <row r="109" spans="1:19" ht="15.75">
      <c r="A109" s="421">
        <v>2</v>
      </c>
      <c r="B109" s="597" t="s">
        <v>207</v>
      </c>
      <c r="C109" s="1010">
        <v>1259008.91666667</v>
      </c>
      <c r="D109" s="1040">
        <v>12</v>
      </c>
      <c r="E109" s="1010">
        <f t="shared" si="17"/>
        <v>15108107</v>
      </c>
      <c r="F109" s="1010"/>
      <c r="G109" s="1010">
        <v>0</v>
      </c>
      <c r="H109" s="1035">
        <v>843848.56</v>
      </c>
      <c r="I109" s="882"/>
      <c r="J109" s="1010">
        <f t="shared" si="9"/>
        <v>843848.56</v>
      </c>
      <c r="K109" s="1010">
        <f t="shared" si="10"/>
        <v>14264258.439999999</v>
      </c>
      <c r="L109" s="1010">
        <f t="shared" si="11"/>
        <v>2425494.2724000099</v>
      </c>
      <c r="M109" s="431">
        <v>12</v>
      </c>
      <c r="N109" s="1053">
        <f t="shared" si="12"/>
        <v>202124.52270000099</v>
      </c>
      <c r="O109" s="1010">
        <v>202124.52270000099</v>
      </c>
      <c r="P109" s="753">
        <f t="shared" si="13"/>
        <v>0</v>
      </c>
      <c r="Q109" s="754"/>
      <c r="R109" s="436"/>
      <c r="S109" s="436"/>
    </row>
    <row r="110" spans="1:19" ht="24.95" customHeight="1">
      <c r="A110" s="421">
        <v>3</v>
      </c>
      <c r="B110" s="597" t="s">
        <v>210</v>
      </c>
      <c r="C110" s="1010">
        <v>904477</v>
      </c>
      <c r="D110" s="1040">
        <v>12</v>
      </c>
      <c r="E110" s="1010">
        <f t="shared" si="17"/>
        <v>10853724</v>
      </c>
      <c r="F110" s="1010"/>
      <c r="G110" s="1010">
        <v>0</v>
      </c>
      <c r="H110" s="1035">
        <v>714697.92</v>
      </c>
      <c r="I110" s="882"/>
      <c r="J110" s="1010">
        <f t="shared" si="9"/>
        <v>714697.92</v>
      </c>
      <c r="K110" s="1010">
        <f t="shared" si="10"/>
        <v>10139026.08</v>
      </c>
      <c r="L110" s="1010">
        <f t="shared" si="11"/>
        <v>1615024.6943999999</v>
      </c>
      <c r="M110" s="431">
        <v>12</v>
      </c>
      <c r="N110" s="1053">
        <f t="shared" si="12"/>
        <v>134585.39120000001</v>
      </c>
      <c r="O110" s="1010">
        <v>134585.39120000001</v>
      </c>
      <c r="P110" s="753">
        <f t="shared" si="13"/>
        <v>0</v>
      </c>
      <c r="Q110" s="754"/>
      <c r="R110" s="436"/>
      <c r="S110" s="436"/>
    </row>
    <row r="111" spans="1:19" ht="15.75">
      <c r="A111" s="421">
        <v>4</v>
      </c>
      <c r="B111" s="597" t="s">
        <v>211</v>
      </c>
      <c r="C111" s="1010">
        <v>713911.08333333395</v>
      </c>
      <c r="D111" s="1040">
        <v>12</v>
      </c>
      <c r="E111" s="1010">
        <f t="shared" si="17"/>
        <v>8566933.0000000093</v>
      </c>
      <c r="F111" s="1010"/>
      <c r="G111" s="1010">
        <v>107120</v>
      </c>
      <c r="H111" s="715">
        <v>550954.64000000095</v>
      </c>
      <c r="I111" s="882"/>
      <c r="J111" s="1010">
        <f t="shared" si="9"/>
        <v>658074.64000000095</v>
      </c>
      <c r="K111" s="1010">
        <f t="shared" si="10"/>
        <v>7908858.3600000096</v>
      </c>
      <c r="L111" s="1010">
        <f t="shared" si="11"/>
        <v>1213594.5048</v>
      </c>
      <c r="M111" s="431">
        <v>12</v>
      </c>
      <c r="N111" s="1053">
        <f t="shared" si="12"/>
        <v>101132.8754</v>
      </c>
      <c r="O111" s="1010">
        <v>101132.8754</v>
      </c>
      <c r="P111" s="753">
        <f t="shared" si="13"/>
        <v>0</v>
      </c>
      <c r="Q111" s="754"/>
      <c r="R111" s="436"/>
      <c r="S111" s="436"/>
    </row>
    <row r="112" spans="1:19" ht="24" customHeight="1">
      <c r="A112" s="421">
        <v>5</v>
      </c>
      <c r="B112" s="597" t="s">
        <v>212</v>
      </c>
      <c r="C112" s="1010">
        <v>713911.08333333395</v>
      </c>
      <c r="D112" s="1040">
        <v>12</v>
      </c>
      <c r="E112" s="1010">
        <f t="shared" si="17"/>
        <v>8566933.0000000093</v>
      </c>
      <c r="F112" s="1010"/>
      <c r="G112" s="1010">
        <v>107120</v>
      </c>
      <c r="H112" s="1035">
        <v>550954.64000000095</v>
      </c>
      <c r="I112" s="882"/>
      <c r="J112" s="1010">
        <f t="shared" si="9"/>
        <v>658074.64000000095</v>
      </c>
      <c r="K112" s="1010">
        <f t="shared" si="10"/>
        <v>7908858.3600000096</v>
      </c>
      <c r="L112" s="1010">
        <f t="shared" si="11"/>
        <v>1213594.5048</v>
      </c>
      <c r="M112" s="431">
        <v>12</v>
      </c>
      <c r="N112" s="1053">
        <f t="shared" si="12"/>
        <v>101132.8754</v>
      </c>
      <c r="O112" s="1010">
        <v>101132.8754</v>
      </c>
      <c r="P112" s="753">
        <f t="shared" si="13"/>
        <v>0</v>
      </c>
      <c r="Q112" s="754"/>
      <c r="R112" s="436"/>
      <c r="S112" s="436"/>
    </row>
    <row r="113" spans="1:19" ht="31.5">
      <c r="A113" s="421">
        <v>6</v>
      </c>
      <c r="B113" s="597" t="s">
        <v>213</v>
      </c>
      <c r="C113" s="1010">
        <v>698166.25</v>
      </c>
      <c r="D113" s="1040">
        <v>12</v>
      </c>
      <c r="E113" s="1010">
        <f t="shared" si="17"/>
        <v>8377995</v>
      </c>
      <c r="F113" s="1010"/>
      <c r="G113" s="1010">
        <v>0</v>
      </c>
      <c r="H113" s="1035">
        <v>535839.6</v>
      </c>
      <c r="I113" s="882"/>
      <c r="J113" s="1010">
        <f t="shared" si="9"/>
        <v>535839.6</v>
      </c>
      <c r="K113" s="1010">
        <f t="shared" si="10"/>
        <v>7842155.4000000004</v>
      </c>
      <c r="L113" s="1010">
        <f t="shared" si="11"/>
        <v>1201587.9720000001</v>
      </c>
      <c r="M113" s="431">
        <v>12</v>
      </c>
      <c r="N113" s="1053">
        <f t="shared" si="12"/>
        <v>100132.33100000001</v>
      </c>
      <c r="O113" s="1010">
        <v>100132.33100000001</v>
      </c>
      <c r="P113" s="753">
        <f t="shared" si="13"/>
        <v>0</v>
      </c>
      <c r="Q113" s="754"/>
      <c r="R113" s="436"/>
      <c r="S113" s="436"/>
    </row>
    <row r="114" spans="1:19" ht="15.75">
      <c r="A114" s="421">
        <v>7</v>
      </c>
      <c r="B114" s="597" t="s">
        <v>215</v>
      </c>
      <c r="C114" s="1010">
        <v>592662.66666666698</v>
      </c>
      <c r="D114" s="1040">
        <v>12</v>
      </c>
      <c r="E114" s="1010">
        <f t="shared" si="17"/>
        <v>7111952</v>
      </c>
      <c r="F114" s="1010"/>
      <c r="G114" s="1010">
        <v>0</v>
      </c>
      <c r="H114" s="1035">
        <v>463356.15999999997</v>
      </c>
      <c r="I114" s="882"/>
      <c r="J114" s="1010">
        <f t="shared" si="9"/>
        <v>463356.15999999997</v>
      </c>
      <c r="K114" s="1010">
        <f t="shared" si="10"/>
        <v>6648595.8399999999</v>
      </c>
      <c r="L114" s="1010">
        <f t="shared" si="11"/>
        <v>986747.25120000099</v>
      </c>
      <c r="M114" s="431">
        <v>12</v>
      </c>
      <c r="N114" s="1053">
        <f t="shared" si="12"/>
        <v>82228.937600000005</v>
      </c>
      <c r="O114" s="1010">
        <v>82228.937600000005</v>
      </c>
      <c r="P114" s="753">
        <f t="shared" si="13"/>
        <v>0</v>
      </c>
      <c r="Q114" s="754"/>
      <c r="R114" s="436"/>
      <c r="S114" s="436"/>
    </row>
    <row r="115" spans="1:19" ht="15.75">
      <c r="A115" s="421">
        <v>8</v>
      </c>
      <c r="B115" s="597" t="s">
        <v>216</v>
      </c>
      <c r="C115" s="1010">
        <v>632098.91666666698</v>
      </c>
      <c r="D115" s="1040">
        <v>12</v>
      </c>
      <c r="E115" s="1010">
        <f t="shared" si="17"/>
        <v>7585187</v>
      </c>
      <c r="F115" s="1010"/>
      <c r="G115" s="1010">
        <v>96107.725000000006</v>
      </c>
      <c r="H115" s="1035">
        <v>491614.96</v>
      </c>
      <c r="I115" s="882"/>
      <c r="J115" s="1010">
        <f t="shared" si="9"/>
        <v>587722.68500000006</v>
      </c>
      <c r="K115" s="1010">
        <f t="shared" si="10"/>
        <v>6997464.3150000004</v>
      </c>
      <c r="L115" s="1010">
        <f t="shared" si="11"/>
        <v>1049543.5767000001</v>
      </c>
      <c r="M115" s="431">
        <v>12</v>
      </c>
      <c r="N115" s="1053">
        <f t="shared" si="12"/>
        <v>87461.964724999998</v>
      </c>
      <c r="O115" s="1010">
        <v>87461.964724999998</v>
      </c>
      <c r="P115" s="753">
        <f t="shared" si="13"/>
        <v>0</v>
      </c>
      <c r="Q115" s="754"/>
      <c r="R115" s="436"/>
      <c r="S115" s="436"/>
    </row>
    <row r="116" spans="1:19" s="870" customFormat="1" ht="31.5">
      <c r="A116" s="1042">
        <v>9</v>
      </c>
      <c r="B116" s="1043" t="s">
        <v>219</v>
      </c>
      <c r="C116" s="1046">
        <v>564993.58333333302</v>
      </c>
      <c r="D116" s="1045">
        <v>12</v>
      </c>
      <c r="E116" s="1046">
        <f t="shared" si="17"/>
        <v>6779923</v>
      </c>
      <c r="F116" s="1046">
        <v>240000</v>
      </c>
      <c r="G116" s="1046">
        <v>0</v>
      </c>
      <c r="H116" s="1048">
        <v>436793.84</v>
      </c>
      <c r="I116" s="1068"/>
      <c r="J116" s="1046">
        <f t="shared" si="9"/>
        <v>676793.84</v>
      </c>
      <c r="K116" s="1046">
        <f t="shared" si="10"/>
        <v>6103129.1600000001</v>
      </c>
      <c r="L116" s="1046">
        <f t="shared" si="11"/>
        <v>888563.24879999901</v>
      </c>
      <c r="M116" s="1054">
        <v>12</v>
      </c>
      <c r="N116" s="1046">
        <f t="shared" si="12"/>
        <v>74046.937399999995</v>
      </c>
      <c r="O116" s="1046">
        <v>77646.937399999995</v>
      </c>
      <c r="P116" s="1055">
        <f t="shared" si="13"/>
        <v>-3600</v>
      </c>
      <c r="Q116" s="1060"/>
      <c r="R116" s="1061"/>
      <c r="S116" s="1061"/>
    </row>
    <row r="117" spans="1:19" ht="15.75">
      <c r="A117" s="421">
        <v>10</v>
      </c>
      <c r="B117" s="597" t="s">
        <v>220</v>
      </c>
      <c r="C117" s="1010">
        <v>499131.16666666698</v>
      </c>
      <c r="D117" s="1040">
        <v>12</v>
      </c>
      <c r="E117" s="1010">
        <f t="shared" si="17"/>
        <v>5989574</v>
      </c>
      <c r="F117" s="1010"/>
      <c r="G117" s="1010">
        <v>0</v>
      </c>
      <c r="H117" s="1035">
        <v>383165.92</v>
      </c>
      <c r="I117" s="882"/>
      <c r="J117" s="1010">
        <f t="shared" si="9"/>
        <v>383165.92</v>
      </c>
      <c r="K117" s="1010">
        <f t="shared" si="10"/>
        <v>5606408.0800000001</v>
      </c>
      <c r="L117" s="1010">
        <f t="shared" si="11"/>
        <v>799153.45440000098</v>
      </c>
      <c r="M117" s="431">
        <v>12</v>
      </c>
      <c r="N117" s="1053">
        <f t="shared" si="12"/>
        <v>66596.121200000096</v>
      </c>
      <c r="O117" s="1010">
        <v>66596.121200000096</v>
      </c>
      <c r="P117" s="753">
        <f t="shared" si="13"/>
        <v>0</v>
      </c>
      <c r="Q117" s="754"/>
      <c r="R117" s="436"/>
      <c r="S117" s="436"/>
    </row>
    <row r="118" spans="1:19" ht="31.5">
      <c r="A118" s="421">
        <v>11</v>
      </c>
      <c r="B118" s="597" t="s">
        <v>222</v>
      </c>
      <c r="C118" s="1010">
        <v>438711.66666666698</v>
      </c>
      <c r="D118" s="1040">
        <v>12</v>
      </c>
      <c r="E118" s="1010">
        <f t="shared" si="17"/>
        <v>5264540</v>
      </c>
      <c r="F118" s="1010"/>
      <c r="G118" s="1010">
        <v>0</v>
      </c>
      <c r="H118" s="882">
        <v>325163.2</v>
      </c>
      <c r="I118" s="882"/>
      <c r="J118" s="1010">
        <f t="shared" si="9"/>
        <v>325163.2</v>
      </c>
      <c r="K118" s="1010">
        <f t="shared" si="10"/>
        <v>4939376.8</v>
      </c>
      <c r="L118" s="1010">
        <f t="shared" si="11"/>
        <v>679087.82400000095</v>
      </c>
      <c r="M118" s="431">
        <v>12</v>
      </c>
      <c r="N118" s="1053">
        <f t="shared" si="12"/>
        <v>56590.652000000096</v>
      </c>
      <c r="O118" s="753">
        <v>56590.652000000096</v>
      </c>
      <c r="P118" s="753">
        <f t="shared" si="13"/>
        <v>0</v>
      </c>
      <c r="Q118" s="754"/>
      <c r="R118" s="436"/>
      <c r="S118" s="436"/>
    </row>
    <row r="119" spans="1:19" ht="15.75">
      <c r="A119" s="421">
        <v>12</v>
      </c>
      <c r="B119" s="313" t="s">
        <v>223</v>
      </c>
      <c r="C119" s="1010">
        <v>438711.66666666698</v>
      </c>
      <c r="D119" s="1040">
        <v>12</v>
      </c>
      <c r="E119" s="1010">
        <f t="shared" si="17"/>
        <v>5264540</v>
      </c>
      <c r="F119" s="1010"/>
      <c r="G119" s="1010">
        <v>0</v>
      </c>
      <c r="H119" s="882">
        <v>325163.2</v>
      </c>
      <c r="I119" s="882"/>
      <c r="J119" s="1010">
        <f t="shared" si="9"/>
        <v>325163.2</v>
      </c>
      <c r="K119" s="1010">
        <f t="shared" si="10"/>
        <v>4939376.8</v>
      </c>
      <c r="L119" s="1010">
        <f t="shared" si="11"/>
        <v>679087.82400000095</v>
      </c>
      <c r="M119" s="431">
        <v>12</v>
      </c>
      <c r="N119" s="1053">
        <f t="shared" si="12"/>
        <v>56590.652000000096</v>
      </c>
      <c r="O119" s="753">
        <v>56590.652000000096</v>
      </c>
      <c r="P119" s="753">
        <f t="shared" si="13"/>
        <v>0</v>
      </c>
      <c r="Q119" s="754"/>
      <c r="R119" s="436"/>
      <c r="S119" s="436"/>
    </row>
    <row r="120" spans="1:19" ht="15.75">
      <c r="A120" s="421">
        <v>13</v>
      </c>
      <c r="B120" s="597" t="s">
        <v>224</v>
      </c>
      <c r="C120" s="1010">
        <v>546228.08333333302</v>
      </c>
      <c r="D120" s="1040">
        <v>12</v>
      </c>
      <c r="E120" s="1010">
        <f t="shared" si="17"/>
        <v>6554737</v>
      </c>
      <c r="F120" s="754"/>
      <c r="G120" s="754">
        <v>61420.324999999997</v>
      </c>
      <c r="H120" s="754">
        <v>303293.36</v>
      </c>
      <c r="I120" s="754"/>
      <c r="J120" s="1010">
        <f t="shared" si="9"/>
        <v>364713.685</v>
      </c>
      <c r="K120" s="1010">
        <f t="shared" si="10"/>
        <v>6190023.3150000004</v>
      </c>
      <c r="L120" s="1010">
        <f t="shared" si="11"/>
        <v>904204.19669999904</v>
      </c>
      <c r="M120" s="431">
        <v>12</v>
      </c>
      <c r="N120" s="1053">
        <f t="shared" si="12"/>
        <v>75350.349724999905</v>
      </c>
      <c r="O120" s="753">
        <v>75350.349724999905</v>
      </c>
      <c r="P120" s="753">
        <f t="shared" si="13"/>
        <v>0</v>
      </c>
      <c r="Q120" s="754"/>
      <c r="R120" s="436"/>
      <c r="S120" s="436"/>
    </row>
    <row r="121" spans="1:19" ht="15.75">
      <c r="A121" s="421"/>
      <c r="B121" s="593" t="s">
        <v>120</v>
      </c>
      <c r="C121" s="1049">
        <f>SUM(C108:C120)</f>
        <v>9899371.4166666698</v>
      </c>
      <c r="D121" s="1049"/>
      <c r="E121" s="1049">
        <f t="shared" ref="E121:P121" si="19">SUM(E108:E120)</f>
        <v>118792457</v>
      </c>
      <c r="F121" s="1049"/>
      <c r="G121" s="1049">
        <f t="shared" si="19"/>
        <v>688649.89999999898</v>
      </c>
      <c r="H121" s="1049">
        <f t="shared" si="19"/>
        <v>7554310.96</v>
      </c>
      <c r="I121" s="1049"/>
      <c r="J121" s="1049">
        <f t="shared" si="19"/>
        <v>8482960.8599999994</v>
      </c>
      <c r="K121" s="1049">
        <f t="shared" si="19"/>
        <v>110309496.14</v>
      </c>
      <c r="L121" s="1049">
        <f t="shared" si="19"/>
        <v>17458296.0141</v>
      </c>
      <c r="M121" s="1049"/>
      <c r="N121" s="1056">
        <f t="shared" si="19"/>
        <v>1454858.0011750001</v>
      </c>
      <c r="O121" s="1049">
        <v>1458458.0011750001</v>
      </c>
      <c r="P121" s="1049">
        <f t="shared" si="19"/>
        <v>-3600</v>
      </c>
      <c r="Q121" s="754"/>
      <c r="R121" s="436"/>
      <c r="S121" s="436"/>
    </row>
    <row r="122" spans="1:19" ht="15.75">
      <c r="A122" s="421"/>
      <c r="B122" s="597"/>
      <c r="C122" s="1064"/>
      <c r="D122" s="1040"/>
      <c r="E122" s="1010"/>
      <c r="F122" s="1010"/>
      <c r="G122" s="1010"/>
      <c r="H122" s="1035"/>
      <c r="I122" s="882"/>
      <c r="J122" s="1010"/>
      <c r="K122" s="1010"/>
      <c r="L122" s="1010"/>
      <c r="M122" s="431"/>
      <c r="N122" s="1053"/>
      <c r="O122" s="753"/>
      <c r="P122" s="753"/>
      <c r="Q122" s="754"/>
      <c r="R122" s="436"/>
      <c r="S122" s="436"/>
    </row>
    <row r="123" spans="1:19" ht="15.75">
      <c r="A123" s="421"/>
      <c r="B123" s="809" t="s">
        <v>226</v>
      </c>
      <c r="C123" s="1010"/>
      <c r="D123" s="1040"/>
      <c r="E123" s="1010"/>
      <c r="F123" s="1010"/>
      <c r="G123" s="1010"/>
      <c r="H123" s="1035"/>
      <c r="I123" s="882"/>
      <c r="J123" s="1010"/>
      <c r="K123" s="1010"/>
      <c r="L123" s="1010"/>
      <c r="M123" s="431"/>
      <c r="N123" s="1053"/>
      <c r="O123" s="753"/>
      <c r="P123" s="753"/>
      <c r="Q123" s="754"/>
      <c r="R123" s="436"/>
      <c r="S123" s="436"/>
    </row>
    <row r="124" spans="1:19" ht="31.5">
      <c r="A124" s="421">
        <v>1</v>
      </c>
      <c r="B124" s="597" t="s">
        <v>227</v>
      </c>
      <c r="C124" s="1010">
        <v>1847106.41666666</v>
      </c>
      <c r="D124" s="1040">
        <v>12</v>
      </c>
      <c r="E124" s="1010">
        <f t="shared" si="17"/>
        <v>22165276.999999899</v>
      </c>
      <c r="F124" s="1010"/>
      <c r="G124" s="1010">
        <v>326033.12499999901</v>
      </c>
      <c r="H124" s="1035">
        <v>1677222.1599999899</v>
      </c>
      <c r="I124" s="882"/>
      <c r="J124" s="1010">
        <f t="shared" si="9"/>
        <v>2003255.2849999899</v>
      </c>
      <c r="K124" s="1010">
        <f t="shared" si="10"/>
        <v>20162021.714999899</v>
      </c>
      <c r="L124" s="1010">
        <f t="shared" si="11"/>
        <v>3664024.56014999</v>
      </c>
      <c r="M124" s="431">
        <v>12</v>
      </c>
      <c r="N124" s="1053">
        <f t="shared" si="12"/>
        <v>305335.38001249899</v>
      </c>
      <c r="O124" s="753">
        <v>305335.38001249899</v>
      </c>
      <c r="P124" s="753">
        <f t="shared" si="13"/>
        <v>0</v>
      </c>
      <c r="Q124" s="754"/>
      <c r="R124" s="436"/>
      <c r="S124" s="436"/>
    </row>
    <row r="125" spans="1:19" ht="15.75">
      <c r="A125" s="421">
        <v>2</v>
      </c>
      <c r="B125" s="597" t="s">
        <v>229</v>
      </c>
      <c r="C125" s="1010">
        <v>659657</v>
      </c>
      <c r="D125" s="1040">
        <v>12</v>
      </c>
      <c r="E125" s="1010">
        <f t="shared" si="17"/>
        <v>7915884</v>
      </c>
      <c r="F125" s="1010"/>
      <c r="G125" s="1010">
        <v>0</v>
      </c>
      <c r="H125" s="1035">
        <v>566070.72</v>
      </c>
      <c r="I125" s="882"/>
      <c r="J125" s="1010">
        <f t="shared" si="9"/>
        <v>566070.72</v>
      </c>
      <c r="K125" s="1010">
        <f t="shared" si="10"/>
        <v>7349813.2800000003</v>
      </c>
      <c r="L125" s="1010">
        <f t="shared" si="11"/>
        <v>1112966.3903999999</v>
      </c>
      <c r="M125" s="431">
        <v>12</v>
      </c>
      <c r="N125" s="1053">
        <f t="shared" si="12"/>
        <v>92747.199200000003</v>
      </c>
      <c r="O125" s="753">
        <v>92747.199200000003</v>
      </c>
      <c r="P125" s="753">
        <f t="shared" si="13"/>
        <v>0</v>
      </c>
      <c r="Q125" s="754"/>
      <c r="R125" s="436"/>
      <c r="S125" s="436"/>
    </row>
    <row r="126" spans="1:19" ht="15.75">
      <c r="A126" s="421">
        <v>3</v>
      </c>
      <c r="B126" s="597" t="s">
        <v>231</v>
      </c>
      <c r="C126" s="1010">
        <v>582098.91666666698</v>
      </c>
      <c r="D126" s="1040">
        <v>12</v>
      </c>
      <c r="E126" s="1010">
        <f t="shared" si="17"/>
        <v>6985187</v>
      </c>
      <c r="F126" s="1065"/>
      <c r="G126" s="1065">
        <v>96107.725000000006</v>
      </c>
      <c r="H126" s="1066">
        <v>491614.96</v>
      </c>
      <c r="I126" s="440"/>
      <c r="J126" s="1010">
        <f t="shared" si="9"/>
        <v>587722.68500000006</v>
      </c>
      <c r="K126" s="1010">
        <f t="shared" si="10"/>
        <v>6397464.3150000004</v>
      </c>
      <c r="L126" s="1010">
        <f t="shared" si="11"/>
        <v>941543.57670000102</v>
      </c>
      <c r="M126" s="431">
        <v>12</v>
      </c>
      <c r="N126" s="1053">
        <f t="shared" si="12"/>
        <v>78461.964724999998</v>
      </c>
      <c r="O126" s="753">
        <v>78461.964724999998</v>
      </c>
      <c r="P126" s="753">
        <f t="shared" si="13"/>
        <v>0</v>
      </c>
      <c r="Q126" s="754"/>
      <c r="R126" s="436"/>
      <c r="S126" s="436"/>
    </row>
    <row r="127" spans="1:19" ht="15.75">
      <c r="A127" s="421">
        <v>4</v>
      </c>
      <c r="B127" s="597" t="s">
        <v>233</v>
      </c>
      <c r="C127" s="1010">
        <v>567472.75</v>
      </c>
      <c r="D127" s="1040">
        <v>12</v>
      </c>
      <c r="E127" s="1010">
        <f t="shared" si="17"/>
        <v>6809673</v>
      </c>
      <c r="F127" s="1065"/>
      <c r="G127" s="1065">
        <v>93501.975000000006</v>
      </c>
      <c r="H127" s="1066">
        <v>477573.84</v>
      </c>
      <c r="I127" s="440"/>
      <c r="J127" s="1010">
        <f t="shared" si="9"/>
        <v>571075.81499999994</v>
      </c>
      <c r="K127" s="1010">
        <f t="shared" si="10"/>
        <v>6238597.1849999996</v>
      </c>
      <c r="L127" s="1010">
        <f t="shared" si="11"/>
        <v>912947.49329999997</v>
      </c>
      <c r="M127" s="431">
        <v>12</v>
      </c>
      <c r="N127" s="1053">
        <f t="shared" si="12"/>
        <v>76078.957775000003</v>
      </c>
      <c r="O127" s="753">
        <v>76078.957775000003</v>
      </c>
      <c r="P127" s="753">
        <f t="shared" si="13"/>
        <v>0</v>
      </c>
      <c r="Q127" s="754"/>
      <c r="R127" s="436"/>
      <c r="S127" s="436"/>
    </row>
    <row r="128" spans="1:19" ht="31.5">
      <c r="A128" s="421">
        <v>5</v>
      </c>
      <c r="B128" s="597" t="s">
        <v>235</v>
      </c>
      <c r="C128" s="1010">
        <v>567472.75</v>
      </c>
      <c r="D128" s="1040">
        <v>12</v>
      </c>
      <c r="E128" s="1010">
        <f t="shared" si="17"/>
        <v>6809673</v>
      </c>
      <c r="F128" s="1065"/>
      <c r="G128" s="1065">
        <v>0</v>
      </c>
      <c r="H128" s="1066">
        <v>477573.84</v>
      </c>
      <c r="I128" s="440"/>
      <c r="J128" s="1010">
        <f t="shared" si="9"/>
        <v>477573.84</v>
      </c>
      <c r="K128" s="1010">
        <f t="shared" si="10"/>
        <v>6332099.1600000001</v>
      </c>
      <c r="L128" s="1010">
        <f t="shared" si="11"/>
        <v>929777.84880000004</v>
      </c>
      <c r="M128" s="431">
        <v>12</v>
      </c>
      <c r="N128" s="1053">
        <f t="shared" si="12"/>
        <v>77481.487399999998</v>
      </c>
      <c r="O128" s="753">
        <v>77481.487399999998</v>
      </c>
      <c r="P128" s="753">
        <f t="shared" si="13"/>
        <v>0</v>
      </c>
      <c r="Q128" s="754"/>
      <c r="R128" s="436"/>
      <c r="S128" s="436"/>
    </row>
    <row r="129" spans="1:19" ht="15.75">
      <c r="A129" s="421">
        <v>6</v>
      </c>
      <c r="B129" s="313" t="s">
        <v>236</v>
      </c>
      <c r="C129" s="1010">
        <v>459131.16666666698</v>
      </c>
      <c r="D129" s="1040">
        <v>12</v>
      </c>
      <c r="E129" s="1010">
        <f t="shared" si="17"/>
        <v>5509574</v>
      </c>
      <c r="F129" s="754"/>
      <c r="G129" s="754">
        <v>0</v>
      </c>
      <c r="H129" s="754">
        <v>383165.92</v>
      </c>
      <c r="I129" s="754"/>
      <c r="J129" s="1010">
        <f t="shared" si="9"/>
        <v>383165.92</v>
      </c>
      <c r="K129" s="1010">
        <f t="shared" si="10"/>
        <v>5126408.08</v>
      </c>
      <c r="L129" s="1010">
        <f t="shared" si="11"/>
        <v>712753.45440000098</v>
      </c>
      <c r="M129" s="431">
        <v>12</v>
      </c>
      <c r="N129" s="1053">
        <f t="shared" si="12"/>
        <v>59396.121200000103</v>
      </c>
      <c r="O129" s="753">
        <v>59396.121200000103</v>
      </c>
      <c r="P129" s="753">
        <f t="shared" si="13"/>
        <v>0</v>
      </c>
      <c r="Q129" s="754"/>
      <c r="R129" s="436"/>
      <c r="S129" s="436"/>
    </row>
    <row r="130" spans="1:19" ht="15.75">
      <c r="A130" s="421">
        <v>7</v>
      </c>
      <c r="B130" s="597" t="s">
        <v>237</v>
      </c>
      <c r="C130" s="1010">
        <v>441140.66666666599</v>
      </c>
      <c r="D130" s="1040">
        <v>12</v>
      </c>
      <c r="E130" s="1010">
        <f t="shared" si="17"/>
        <v>5293687.9999999898</v>
      </c>
      <c r="F130" s="754"/>
      <c r="G130" s="754">
        <v>0</v>
      </c>
      <c r="H130" s="754">
        <v>365895.03999999899</v>
      </c>
      <c r="I130" s="754"/>
      <c r="J130" s="1010">
        <f t="shared" si="9"/>
        <v>365895.03999999899</v>
      </c>
      <c r="K130" s="1010">
        <f t="shared" si="10"/>
        <v>4927792.9599999897</v>
      </c>
      <c r="L130" s="1010">
        <f t="shared" si="11"/>
        <v>677002.73279999895</v>
      </c>
      <c r="M130" s="431">
        <v>12</v>
      </c>
      <c r="N130" s="1053">
        <f t="shared" si="12"/>
        <v>56416.894399999903</v>
      </c>
      <c r="O130" s="753">
        <v>56416.894399999903</v>
      </c>
      <c r="P130" s="753">
        <f t="shared" si="13"/>
        <v>0</v>
      </c>
      <c r="Q130" s="754"/>
      <c r="R130" s="436"/>
      <c r="S130" s="436"/>
    </row>
    <row r="131" spans="1:19" ht="15.75">
      <c r="A131" s="421"/>
      <c r="B131" s="597" t="s">
        <v>120</v>
      </c>
      <c r="C131" s="1069">
        <f>SUM(C124:C130)</f>
        <v>5124079.6666666605</v>
      </c>
      <c r="D131" s="1070"/>
      <c r="E131" s="1069">
        <f t="shared" ref="E131:P131" si="20">SUM(E124:E130)</f>
        <v>61488955.999999903</v>
      </c>
      <c r="F131" s="1069"/>
      <c r="G131" s="1069">
        <f t="shared" si="20"/>
        <v>515642.82499999902</v>
      </c>
      <c r="H131" s="1069">
        <f t="shared" si="20"/>
        <v>4439116.4799999902</v>
      </c>
      <c r="I131" s="1069"/>
      <c r="J131" s="1069">
        <f t="shared" si="20"/>
        <v>4954759.3049999904</v>
      </c>
      <c r="K131" s="1069">
        <f t="shared" si="20"/>
        <v>56534196.694999903</v>
      </c>
      <c r="L131" s="1069">
        <f t="shared" si="20"/>
        <v>8951016.0565499905</v>
      </c>
      <c r="M131" s="1069"/>
      <c r="N131" s="1071">
        <f t="shared" si="20"/>
        <v>745918.00471249898</v>
      </c>
      <c r="O131" s="1069">
        <v>745918.00471249898</v>
      </c>
      <c r="P131" s="1069">
        <f t="shared" si="20"/>
        <v>0</v>
      </c>
      <c r="Q131" s="754"/>
      <c r="R131" s="436"/>
      <c r="S131" s="436"/>
    </row>
    <row r="132" spans="1:19" ht="15.75">
      <c r="A132" s="421"/>
      <c r="B132" s="597"/>
      <c r="C132" s="1010"/>
      <c r="D132" s="1040"/>
      <c r="E132" s="1010"/>
      <c r="F132" s="1010"/>
      <c r="G132" s="1010"/>
      <c r="H132" s="1035"/>
      <c r="I132" s="882"/>
      <c r="J132" s="1010"/>
      <c r="K132" s="1010"/>
      <c r="L132" s="1010"/>
      <c r="M132" s="431"/>
      <c r="N132" s="1053"/>
      <c r="O132" s="753"/>
      <c r="P132" s="753"/>
      <c r="Q132" s="754"/>
      <c r="R132" s="436"/>
      <c r="S132" s="436"/>
    </row>
    <row r="133" spans="1:19" ht="31.5">
      <c r="A133" s="421"/>
      <c r="B133" s="809" t="s">
        <v>239</v>
      </c>
      <c r="C133" s="1010"/>
      <c r="D133" s="1040"/>
      <c r="E133" s="1010"/>
      <c r="F133" s="1010"/>
      <c r="G133" s="1010"/>
      <c r="H133" s="1035"/>
      <c r="I133" s="882"/>
      <c r="J133" s="1010"/>
      <c r="K133" s="1010"/>
      <c r="L133" s="1010"/>
      <c r="M133" s="431"/>
      <c r="N133" s="1053"/>
      <c r="O133" s="753"/>
      <c r="P133" s="753"/>
      <c r="Q133" s="754"/>
      <c r="R133" s="436"/>
      <c r="S133" s="436"/>
    </row>
    <row r="134" spans="1:19" ht="15.75">
      <c r="A134" s="421">
        <v>1</v>
      </c>
      <c r="B134" s="597" t="s">
        <v>240</v>
      </c>
      <c r="C134" s="1010">
        <v>1947106.41666666</v>
      </c>
      <c r="D134" s="1040">
        <v>12</v>
      </c>
      <c r="E134" s="1010">
        <f t="shared" si="17"/>
        <v>23365276.999999899</v>
      </c>
      <c r="F134" s="1010"/>
      <c r="G134" s="1010">
        <v>0</v>
      </c>
      <c r="H134" s="1035">
        <v>1677222.1599999899</v>
      </c>
      <c r="I134" s="882"/>
      <c r="J134" s="1010">
        <f t="shared" si="9"/>
        <v>1677222.1599999899</v>
      </c>
      <c r="K134" s="1010">
        <f t="shared" si="10"/>
        <v>21688054.839999899</v>
      </c>
      <c r="L134" s="1010">
        <f t="shared" si="11"/>
        <v>3984491.5163999898</v>
      </c>
      <c r="M134" s="431">
        <v>12</v>
      </c>
      <c r="N134" s="1053">
        <f t="shared" si="12"/>
        <v>332040.95969999902</v>
      </c>
      <c r="O134" s="753">
        <v>332040.95969999902</v>
      </c>
      <c r="P134" s="753">
        <f t="shared" si="13"/>
        <v>0</v>
      </c>
      <c r="Q134" s="754"/>
      <c r="R134" s="436"/>
      <c r="S134" s="436"/>
    </row>
    <row r="135" spans="1:19" ht="15.75">
      <c r="A135" s="421">
        <v>2</v>
      </c>
      <c r="B135" s="597" t="s">
        <v>242</v>
      </c>
      <c r="C135" s="1010">
        <v>1085306.75</v>
      </c>
      <c r="D135" s="1040">
        <v>12</v>
      </c>
      <c r="E135" s="1010">
        <f t="shared" si="17"/>
        <v>13023681</v>
      </c>
      <c r="F135" s="1010"/>
      <c r="G135" s="1010">
        <v>166400.85</v>
      </c>
      <c r="H135" s="1035">
        <v>869094.48</v>
      </c>
      <c r="I135" s="882"/>
      <c r="J135" s="1010">
        <f t="shared" ref="J135:J198" si="21">F135+G135+H135</f>
        <v>1035495.33</v>
      </c>
      <c r="K135" s="1010">
        <f t="shared" ref="K135:K198" si="22">E135-J135</f>
        <v>11988185.67</v>
      </c>
      <c r="L135" s="1010">
        <f t="shared" ref="L135:L198" si="23">IF(K135&lt;=800000,0,IF(K135&lt;=3000000,(K135-800000)*15%,IF(K135&lt;=12000000,330000+(K135-3000000)*18%,IF(K135&lt;=25000000,1950000+(K135-12000000)*21%,IF(K135&lt;=50000000,4680000+(K135-25000000)*23%,10430000+(K135-50000000)*25%)))))</f>
        <v>1947873.4206000001</v>
      </c>
      <c r="M135" s="431">
        <v>12</v>
      </c>
      <c r="N135" s="1053">
        <f t="shared" ref="N135:N198" si="24">L135/M135</f>
        <v>162322.78505000001</v>
      </c>
      <c r="O135" s="753">
        <v>162322.78505000001</v>
      </c>
      <c r="P135" s="753">
        <f t="shared" ref="P135:P198" si="25">N135-O135</f>
        <v>0</v>
      </c>
      <c r="Q135" s="754"/>
      <c r="R135" s="436"/>
      <c r="S135" s="436"/>
    </row>
    <row r="136" spans="1:19" ht="15.75">
      <c r="A136" s="421">
        <v>3</v>
      </c>
      <c r="B136" s="313" t="s">
        <v>244</v>
      </c>
      <c r="C136" s="1010">
        <v>757831.39500000002</v>
      </c>
      <c r="D136" s="1040">
        <v>12</v>
      </c>
      <c r="E136" s="1010">
        <f t="shared" si="17"/>
        <v>9093976.7400000002</v>
      </c>
      <c r="F136" s="1010"/>
      <c r="G136" s="1010">
        <v>104314.77499999999</v>
      </c>
      <c r="H136" s="1035">
        <v>535838.64</v>
      </c>
      <c r="I136" s="882"/>
      <c r="J136" s="1010">
        <f t="shared" si="21"/>
        <v>640153.41500000004</v>
      </c>
      <c r="K136" s="1010">
        <f t="shared" si="22"/>
        <v>8453823.3249999993</v>
      </c>
      <c r="L136" s="1010">
        <f t="shared" si="23"/>
        <v>1311688.1984999999</v>
      </c>
      <c r="M136" s="431">
        <v>12</v>
      </c>
      <c r="N136" s="1053">
        <f t="shared" si="24"/>
        <v>109307.349875</v>
      </c>
      <c r="O136" s="753">
        <v>109307.349875</v>
      </c>
      <c r="P136" s="753">
        <f t="shared" si="25"/>
        <v>0</v>
      </c>
      <c r="Q136" s="754"/>
      <c r="R136" s="436"/>
      <c r="S136" s="436"/>
    </row>
    <row r="137" spans="1:19" ht="15.75">
      <c r="A137" s="421">
        <v>4</v>
      </c>
      <c r="B137" s="313" t="s">
        <v>246</v>
      </c>
      <c r="C137" s="1010">
        <v>757831.39500000002</v>
      </c>
      <c r="D137" s="1040">
        <v>12</v>
      </c>
      <c r="E137" s="1010">
        <f t="shared" si="17"/>
        <v>9093976.7400000002</v>
      </c>
      <c r="F137" s="1065"/>
      <c r="G137" s="754">
        <v>0</v>
      </c>
      <c r="H137" s="1035">
        <v>535838.64</v>
      </c>
      <c r="I137" s="882"/>
      <c r="J137" s="1010">
        <f t="shared" si="21"/>
        <v>535838.64</v>
      </c>
      <c r="K137" s="1010">
        <f t="shared" si="22"/>
        <v>8558138.0999999996</v>
      </c>
      <c r="L137" s="1010">
        <f t="shared" si="23"/>
        <v>1330464.858</v>
      </c>
      <c r="M137" s="431">
        <v>12</v>
      </c>
      <c r="N137" s="1053">
        <f t="shared" si="24"/>
        <v>110872.07150000001</v>
      </c>
      <c r="O137" s="753">
        <v>110872.07150000001</v>
      </c>
      <c r="P137" s="753">
        <f t="shared" si="25"/>
        <v>0</v>
      </c>
      <c r="Q137" s="754"/>
      <c r="R137" s="436"/>
      <c r="S137" s="436"/>
    </row>
    <row r="138" spans="1:19" ht="15.75">
      <c r="A138" s="421">
        <v>5</v>
      </c>
      <c r="B138" s="313" t="s">
        <v>247</v>
      </c>
      <c r="C138" s="1010">
        <v>613521.07333333301</v>
      </c>
      <c r="D138" s="1040">
        <v>12</v>
      </c>
      <c r="E138" s="1010">
        <f t="shared" si="17"/>
        <v>7362252.8799999999</v>
      </c>
      <c r="F138" s="1065"/>
      <c r="G138" s="754">
        <v>0</v>
      </c>
      <c r="H138" s="1035">
        <v>436793.84</v>
      </c>
      <c r="I138" s="440"/>
      <c r="J138" s="1010">
        <f t="shared" si="21"/>
        <v>436793.84</v>
      </c>
      <c r="K138" s="1010">
        <f t="shared" si="22"/>
        <v>6925459.04</v>
      </c>
      <c r="L138" s="1010">
        <f t="shared" si="23"/>
        <v>1036582.6272</v>
      </c>
      <c r="M138" s="431">
        <v>12</v>
      </c>
      <c r="N138" s="1053">
        <f t="shared" si="24"/>
        <v>86381.885599999907</v>
      </c>
      <c r="O138" s="753">
        <v>86381.885599999907</v>
      </c>
      <c r="P138" s="753">
        <f t="shared" si="25"/>
        <v>0</v>
      </c>
      <c r="Q138" s="754"/>
      <c r="R138" s="436"/>
      <c r="S138" s="436"/>
    </row>
    <row r="139" spans="1:19" ht="15.75">
      <c r="A139" s="421">
        <v>6</v>
      </c>
      <c r="B139" s="313" t="s">
        <v>249</v>
      </c>
      <c r="C139" s="1010">
        <v>473254.71250000002</v>
      </c>
      <c r="D139" s="1040">
        <v>12</v>
      </c>
      <c r="E139" s="1010">
        <f t="shared" si="17"/>
        <v>5679056.5499999998</v>
      </c>
      <c r="F139" s="1065"/>
      <c r="G139" s="754">
        <v>0</v>
      </c>
      <c r="H139" s="1035">
        <v>323481.76</v>
      </c>
      <c r="I139" s="440"/>
      <c r="J139" s="1010">
        <f t="shared" si="21"/>
        <v>323481.76</v>
      </c>
      <c r="K139" s="1010">
        <f t="shared" si="22"/>
        <v>5355574.79</v>
      </c>
      <c r="L139" s="1010">
        <f t="shared" si="23"/>
        <v>754003.46219999995</v>
      </c>
      <c r="M139" s="431">
        <v>12</v>
      </c>
      <c r="N139" s="1053">
        <f t="shared" si="24"/>
        <v>62833.621850000003</v>
      </c>
      <c r="O139" s="753">
        <v>62833.621850000003</v>
      </c>
      <c r="P139" s="753">
        <f t="shared" si="25"/>
        <v>0</v>
      </c>
      <c r="Q139" s="754"/>
      <c r="R139" s="436"/>
      <c r="S139" s="436"/>
    </row>
    <row r="140" spans="1:19" ht="31.5">
      <c r="A140" s="421">
        <v>7</v>
      </c>
      <c r="B140" s="313" t="s">
        <v>252</v>
      </c>
      <c r="C140" s="1010">
        <v>475056.445833334</v>
      </c>
      <c r="D140" s="1040">
        <v>12</v>
      </c>
      <c r="E140" s="1010">
        <f t="shared" si="17"/>
        <v>5700677.3500000099</v>
      </c>
      <c r="F140" s="1065"/>
      <c r="G140" s="754">
        <v>0</v>
      </c>
      <c r="H140" s="1035">
        <v>325163.2</v>
      </c>
      <c r="I140" s="440"/>
      <c r="J140" s="1010">
        <f t="shared" si="21"/>
        <v>325163.2</v>
      </c>
      <c r="K140" s="1010">
        <f t="shared" si="22"/>
        <v>5375514.1500000097</v>
      </c>
      <c r="L140" s="1010">
        <f t="shared" si="23"/>
        <v>757592.54700000095</v>
      </c>
      <c r="M140" s="431">
        <v>12</v>
      </c>
      <c r="N140" s="1053">
        <f t="shared" si="24"/>
        <v>63132.712250000099</v>
      </c>
      <c r="O140" s="753">
        <v>63132.712250000099</v>
      </c>
      <c r="P140" s="753">
        <f t="shared" si="25"/>
        <v>0</v>
      </c>
      <c r="Q140" s="754"/>
      <c r="R140" s="436"/>
      <c r="S140" s="436"/>
    </row>
    <row r="141" spans="1:19" ht="15.75">
      <c r="A141" s="421">
        <v>8</v>
      </c>
      <c r="B141" s="313" t="s">
        <v>253</v>
      </c>
      <c r="C141" s="1010">
        <v>442901.94</v>
      </c>
      <c r="D141" s="1040">
        <v>12</v>
      </c>
      <c r="E141" s="1010">
        <f t="shared" si="17"/>
        <v>5314823.28</v>
      </c>
      <c r="F141" s="1065"/>
      <c r="G141" s="754">
        <v>61420.324999999997</v>
      </c>
      <c r="H141" s="1035">
        <v>303293.36</v>
      </c>
      <c r="I141" s="440"/>
      <c r="J141" s="1010">
        <f t="shared" si="21"/>
        <v>364713.685</v>
      </c>
      <c r="K141" s="1010">
        <f t="shared" si="22"/>
        <v>4950109.59500001</v>
      </c>
      <c r="L141" s="1010">
        <f t="shared" si="23"/>
        <v>681019.72710000095</v>
      </c>
      <c r="M141" s="431">
        <v>12</v>
      </c>
      <c r="N141" s="1053">
        <f t="shared" si="24"/>
        <v>56751.643925000099</v>
      </c>
      <c r="O141" s="753">
        <v>56751.643925000099</v>
      </c>
      <c r="P141" s="753">
        <f t="shared" si="25"/>
        <v>0</v>
      </c>
      <c r="Q141" s="754"/>
      <c r="R141" s="436"/>
      <c r="S141" s="436"/>
    </row>
    <row r="142" spans="1:19" ht="15.75">
      <c r="A142" s="421">
        <v>9</v>
      </c>
      <c r="B142" s="313" t="s">
        <v>254</v>
      </c>
      <c r="C142" s="1010">
        <v>426568.83333333401</v>
      </c>
      <c r="D142" s="1040">
        <v>12</v>
      </c>
      <c r="E142" s="1010">
        <f t="shared" si="17"/>
        <v>5118826.0000000102</v>
      </c>
      <c r="F142" s="1065"/>
      <c r="G142" s="754">
        <v>0</v>
      </c>
      <c r="H142" s="1035">
        <v>283104.80000000098</v>
      </c>
      <c r="I142" s="440"/>
      <c r="J142" s="1010">
        <f t="shared" si="21"/>
        <v>283104.80000000098</v>
      </c>
      <c r="K142" s="1010">
        <f t="shared" si="22"/>
        <v>4835721.2000000104</v>
      </c>
      <c r="L142" s="1010">
        <f t="shared" si="23"/>
        <v>660429.81600000104</v>
      </c>
      <c r="M142" s="431">
        <v>12</v>
      </c>
      <c r="N142" s="1053">
        <f t="shared" si="24"/>
        <v>55035.818000000101</v>
      </c>
      <c r="O142" s="753">
        <v>55035.818000000101</v>
      </c>
      <c r="P142" s="753">
        <f t="shared" si="25"/>
        <v>0</v>
      </c>
      <c r="Q142" s="754"/>
      <c r="R142" s="436"/>
      <c r="S142" s="436"/>
    </row>
    <row r="143" spans="1:19" ht="15.75">
      <c r="A143" s="421">
        <v>10</v>
      </c>
      <c r="B143" s="597" t="s">
        <v>255</v>
      </c>
      <c r="C143" s="1010">
        <v>426568.83333333401</v>
      </c>
      <c r="D143" s="1040">
        <v>12</v>
      </c>
      <c r="E143" s="1010">
        <f t="shared" si="17"/>
        <v>5118826.0000000102</v>
      </c>
      <c r="F143" s="754"/>
      <c r="G143" s="754">
        <v>0</v>
      </c>
      <c r="H143" s="1035">
        <v>283104.80000000098</v>
      </c>
      <c r="I143" s="754"/>
      <c r="J143" s="1010">
        <f t="shared" si="21"/>
        <v>283104.80000000098</v>
      </c>
      <c r="K143" s="1010">
        <f t="shared" si="22"/>
        <v>4835721.2000000104</v>
      </c>
      <c r="L143" s="1010">
        <f t="shared" si="23"/>
        <v>660429.81600000104</v>
      </c>
      <c r="M143" s="431">
        <v>12</v>
      </c>
      <c r="N143" s="1053">
        <f t="shared" si="24"/>
        <v>55035.818000000101</v>
      </c>
      <c r="O143" s="753">
        <v>55035.818000000101</v>
      </c>
      <c r="P143" s="753">
        <f t="shared" si="25"/>
        <v>0</v>
      </c>
      <c r="Q143" s="754"/>
      <c r="R143" s="436"/>
      <c r="S143" s="436"/>
    </row>
    <row r="144" spans="1:19" ht="17.100000000000001" customHeight="1">
      <c r="A144" s="421">
        <v>11</v>
      </c>
      <c r="B144" s="597" t="s">
        <v>256</v>
      </c>
      <c r="C144" s="1010">
        <v>426568.83333333401</v>
      </c>
      <c r="D144" s="1040">
        <v>12</v>
      </c>
      <c r="E144" s="1010">
        <f t="shared" si="17"/>
        <v>5118826.0000000102</v>
      </c>
      <c r="F144" s="754"/>
      <c r="G144" s="754">
        <v>0</v>
      </c>
      <c r="H144" s="1035">
        <v>283104.80000000098</v>
      </c>
      <c r="I144" s="754"/>
      <c r="J144" s="1010">
        <f t="shared" si="21"/>
        <v>283104.80000000098</v>
      </c>
      <c r="K144" s="1010">
        <f t="shared" si="22"/>
        <v>4835721.2000000104</v>
      </c>
      <c r="L144" s="1010">
        <f t="shared" si="23"/>
        <v>660429.81600000104</v>
      </c>
      <c r="M144" s="431">
        <v>12</v>
      </c>
      <c r="N144" s="1053">
        <f t="shared" si="24"/>
        <v>55035.818000000101</v>
      </c>
      <c r="O144" s="753">
        <v>55035.818000000101</v>
      </c>
      <c r="P144" s="753">
        <f t="shared" si="25"/>
        <v>0</v>
      </c>
      <c r="Q144" s="754"/>
      <c r="R144" s="436"/>
      <c r="S144" s="436"/>
    </row>
    <row r="145" spans="1:19" ht="15.75">
      <c r="A145" s="421"/>
      <c r="B145" s="597" t="s">
        <v>120</v>
      </c>
      <c r="C145" s="1049">
        <f>SUM(C134:C144)</f>
        <v>7832516.6283333302</v>
      </c>
      <c r="D145" s="1050"/>
      <c r="E145" s="1049">
        <f t="shared" ref="E145:P145" si="26">SUM(E134:E144)</f>
        <v>93990199.540000007</v>
      </c>
      <c r="F145" s="1049"/>
      <c r="G145" s="1049">
        <f t="shared" si="26"/>
        <v>332135.95</v>
      </c>
      <c r="H145" s="1049">
        <f t="shared" si="26"/>
        <v>5856040.4799999902</v>
      </c>
      <c r="I145" s="1049"/>
      <c r="J145" s="1049">
        <f t="shared" si="26"/>
        <v>6188176.4299999904</v>
      </c>
      <c r="K145" s="1049">
        <f t="shared" si="26"/>
        <v>87802023.109999999</v>
      </c>
      <c r="L145" s="1049">
        <f t="shared" si="26"/>
        <v>13785005.805</v>
      </c>
      <c r="M145" s="1049"/>
      <c r="N145" s="1056">
        <f t="shared" si="26"/>
        <v>1148750.4837499999</v>
      </c>
      <c r="O145" s="1049">
        <v>1148750.4837499999</v>
      </c>
      <c r="P145" s="1049">
        <f t="shared" si="26"/>
        <v>0</v>
      </c>
      <c r="Q145" s="754"/>
      <c r="R145" s="436"/>
      <c r="S145" s="436"/>
    </row>
    <row r="146" spans="1:19" ht="15.75">
      <c r="A146" s="421"/>
      <c r="B146" s="597"/>
      <c r="C146" s="1010"/>
      <c r="D146" s="1040"/>
      <c r="E146" s="1010"/>
      <c r="F146" s="1010"/>
      <c r="G146" s="1010"/>
      <c r="H146" s="1035"/>
      <c r="I146" s="882"/>
      <c r="J146" s="1010"/>
      <c r="K146" s="1010"/>
      <c r="L146" s="1010"/>
      <c r="M146" s="431"/>
      <c r="N146" s="1053"/>
      <c r="O146" s="753"/>
      <c r="P146" s="753"/>
      <c r="Q146" s="754"/>
      <c r="R146" s="436"/>
      <c r="S146" s="436"/>
    </row>
    <row r="147" spans="1:19" ht="31.5">
      <c r="A147" s="421"/>
      <c r="B147" s="809" t="s">
        <v>257</v>
      </c>
      <c r="C147" s="715"/>
      <c r="D147" s="1040"/>
      <c r="E147" s="1010"/>
      <c r="F147" s="1010"/>
      <c r="G147" s="1010"/>
      <c r="H147" s="1035"/>
      <c r="I147" s="882"/>
      <c r="J147" s="1010"/>
      <c r="K147" s="1010"/>
      <c r="L147" s="1010"/>
      <c r="M147" s="431"/>
      <c r="N147" s="1053"/>
      <c r="O147" s="753"/>
      <c r="P147" s="753"/>
      <c r="Q147" s="754"/>
      <c r="R147" s="436"/>
      <c r="S147" s="436"/>
    </row>
    <row r="148" spans="1:19" ht="15.75">
      <c r="A148" s="421">
        <v>1</v>
      </c>
      <c r="B148" s="597" t="s">
        <v>258</v>
      </c>
      <c r="C148" s="715">
        <v>882595.5</v>
      </c>
      <c r="D148" s="1040">
        <v>12</v>
      </c>
      <c r="E148" s="1010">
        <f t="shared" si="17"/>
        <v>10591146</v>
      </c>
      <c r="F148" s="1010"/>
      <c r="G148" s="1010">
        <v>0</v>
      </c>
      <c r="H148" s="1035">
        <v>693691.68</v>
      </c>
      <c r="I148" s="882"/>
      <c r="J148" s="1010">
        <f t="shared" si="21"/>
        <v>693691.68</v>
      </c>
      <c r="K148" s="1010">
        <f t="shared" si="22"/>
        <v>9897454.3200000003</v>
      </c>
      <c r="L148" s="1010">
        <f t="shared" si="23"/>
        <v>1571541.7775999999</v>
      </c>
      <c r="M148" s="431">
        <v>12</v>
      </c>
      <c r="N148" s="1053">
        <f t="shared" si="24"/>
        <v>130961.81479999999</v>
      </c>
      <c r="O148" s="753">
        <v>130961.81479999999</v>
      </c>
      <c r="P148" s="753">
        <f t="shared" si="25"/>
        <v>0</v>
      </c>
      <c r="Q148" s="754"/>
      <c r="R148" s="436"/>
      <c r="S148" s="436"/>
    </row>
    <row r="149" spans="1:19" ht="15.75">
      <c r="A149" s="421">
        <v>2</v>
      </c>
      <c r="B149" s="597" t="s">
        <v>259</v>
      </c>
      <c r="C149" s="715">
        <v>606497.16666666698</v>
      </c>
      <c r="D149" s="1040">
        <v>12</v>
      </c>
      <c r="E149" s="1010">
        <f t="shared" si="17"/>
        <v>7277966</v>
      </c>
      <c r="F149" s="1010"/>
      <c r="G149" s="1010">
        <v>93328.324999999997</v>
      </c>
      <c r="H149" s="1035">
        <v>476637.28</v>
      </c>
      <c r="I149" s="882"/>
      <c r="J149" s="1010">
        <f t="shared" si="21"/>
        <v>569965.60499999998</v>
      </c>
      <c r="K149" s="1010">
        <f t="shared" si="22"/>
        <v>6708000.3949999996</v>
      </c>
      <c r="L149" s="1010">
        <f t="shared" si="23"/>
        <v>997440.07110000099</v>
      </c>
      <c r="M149" s="431">
        <v>12</v>
      </c>
      <c r="N149" s="1053">
        <f t="shared" si="24"/>
        <v>83120.005925000005</v>
      </c>
      <c r="O149" s="753">
        <v>83120.005925000005</v>
      </c>
      <c r="P149" s="753">
        <f t="shared" si="25"/>
        <v>0</v>
      </c>
      <c r="Q149" s="754"/>
      <c r="R149" s="436"/>
      <c r="S149" s="436"/>
    </row>
    <row r="150" spans="1:19" ht="15.75">
      <c r="A150" s="421">
        <v>3</v>
      </c>
      <c r="B150" s="597" t="s">
        <v>484</v>
      </c>
      <c r="C150" s="715">
        <v>578828.16666666698</v>
      </c>
      <c r="D150" s="1040">
        <v>12</v>
      </c>
      <c r="E150" s="1010">
        <f t="shared" si="17"/>
        <v>6945938</v>
      </c>
      <c r="F150" s="1010"/>
      <c r="G150" s="1010">
        <v>0</v>
      </c>
      <c r="H150" s="1035">
        <v>450075.04</v>
      </c>
      <c r="I150" s="882"/>
      <c r="J150" s="1010">
        <f t="shared" si="21"/>
        <v>450075.04</v>
      </c>
      <c r="K150" s="1010">
        <f t="shared" si="22"/>
        <v>6495862.96</v>
      </c>
      <c r="L150" s="1010">
        <f t="shared" si="23"/>
        <v>959255.33280000102</v>
      </c>
      <c r="M150" s="431">
        <v>12</v>
      </c>
      <c r="N150" s="1053"/>
      <c r="O150" s="753"/>
      <c r="P150" s="753">
        <f t="shared" si="25"/>
        <v>0</v>
      </c>
      <c r="Q150" s="754"/>
      <c r="R150" s="436"/>
      <c r="S150" s="436"/>
    </row>
    <row r="151" spans="1:19" ht="15.75">
      <c r="A151" s="421">
        <v>4</v>
      </c>
      <c r="B151" s="597" t="s">
        <v>262</v>
      </c>
      <c r="C151" s="715">
        <v>438711.66666666698</v>
      </c>
      <c r="D151" s="1040">
        <v>12</v>
      </c>
      <c r="E151" s="1010">
        <f t="shared" si="17"/>
        <v>5264540</v>
      </c>
      <c r="F151" s="1010"/>
      <c r="G151" s="1010">
        <v>65320.025000000103</v>
      </c>
      <c r="H151" s="1035">
        <v>325163.2</v>
      </c>
      <c r="I151" s="882"/>
      <c r="J151" s="1010">
        <f t="shared" si="21"/>
        <v>390483.22499999998</v>
      </c>
      <c r="K151" s="1010">
        <f t="shared" si="22"/>
        <v>4874056.7750000004</v>
      </c>
      <c r="L151" s="1010">
        <f t="shared" si="23"/>
        <v>667330.21950000105</v>
      </c>
      <c r="M151" s="431">
        <v>12</v>
      </c>
      <c r="N151" s="1053">
        <f t="shared" si="24"/>
        <v>55610.851625000098</v>
      </c>
      <c r="O151" s="753">
        <v>55610.851625000098</v>
      </c>
      <c r="P151" s="753">
        <f t="shared" si="25"/>
        <v>0</v>
      </c>
      <c r="Q151" s="754"/>
      <c r="R151" s="436"/>
      <c r="S151" s="436"/>
    </row>
    <row r="152" spans="1:19" ht="31.5">
      <c r="A152" s="421">
        <v>5</v>
      </c>
      <c r="B152" s="597" t="s">
        <v>263</v>
      </c>
      <c r="C152" s="715">
        <v>438711.66666666698</v>
      </c>
      <c r="D152" s="1040">
        <v>12</v>
      </c>
      <c r="E152" s="1010">
        <f t="shared" si="17"/>
        <v>5264540</v>
      </c>
      <c r="F152" s="1010"/>
      <c r="G152" s="1010">
        <v>65320.025000000103</v>
      </c>
      <c r="H152" s="1035">
        <v>325163.2</v>
      </c>
      <c r="I152" s="882"/>
      <c r="J152" s="1010">
        <f t="shared" si="21"/>
        <v>390483.22499999998</v>
      </c>
      <c r="K152" s="1010">
        <f t="shared" si="22"/>
        <v>4874056.7750000004</v>
      </c>
      <c r="L152" s="1010">
        <f t="shared" si="23"/>
        <v>667330.21950000105</v>
      </c>
      <c r="M152" s="431">
        <v>12</v>
      </c>
      <c r="N152" s="1053">
        <f t="shared" si="24"/>
        <v>55610.851625000098</v>
      </c>
      <c r="O152" s="753">
        <v>55610.851625000098</v>
      </c>
      <c r="P152" s="753">
        <f t="shared" si="25"/>
        <v>0</v>
      </c>
      <c r="Q152" s="754"/>
      <c r="R152" s="436"/>
      <c r="S152" s="436"/>
    </row>
    <row r="153" spans="1:19" ht="15.75">
      <c r="A153" s="421">
        <v>6</v>
      </c>
      <c r="B153" s="597" t="s">
        <v>264</v>
      </c>
      <c r="C153" s="1010">
        <v>438711.66666666698</v>
      </c>
      <c r="D153" s="1040">
        <v>12</v>
      </c>
      <c r="E153" s="1010">
        <f t="shared" si="17"/>
        <v>5264540</v>
      </c>
      <c r="F153" s="754"/>
      <c r="G153" s="754">
        <v>65320.025000000103</v>
      </c>
      <c r="H153" s="1035">
        <v>325163.2</v>
      </c>
      <c r="I153" s="754"/>
      <c r="J153" s="1010">
        <f t="shared" si="21"/>
        <v>390483.22499999998</v>
      </c>
      <c r="K153" s="1010">
        <f t="shared" si="22"/>
        <v>4874056.7750000004</v>
      </c>
      <c r="L153" s="1010">
        <f t="shared" si="23"/>
        <v>667330.21950000105</v>
      </c>
      <c r="M153" s="431">
        <v>12</v>
      </c>
      <c r="N153" s="1053">
        <f t="shared" si="24"/>
        <v>55610.851625000098</v>
      </c>
      <c r="O153" s="753">
        <v>55610.851625000098</v>
      </c>
      <c r="P153" s="753">
        <f t="shared" si="25"/>
        <v>0</v>
      </c>
      <c r="Q153" s="754"/>
      <c r="R153" s="436"/>
      <c r="S153" s="436"/>
    </row>
    <row r="154" spans="1:19" ht="15.75">
      <c r="A154" s="421">
        <v>7</v>
      </c>
      <c r="B154" s="597" t="s">
        <v>265</v>
      </c>
      <c r="C154" s="1010">
        <v>438711.66666666698</v>
      </c>
      <c r="D154" s="1040">
        <v>12</v>
      </c>
      <c r="E154" s="1010">
        <f t="shared" si="17"/>
        <v>5264540</v>
      </c>
      <c r="F154" s="1010"/>
      <c r="G154" s="1010">
        <v>65320.025000000103</v>
      </c>
      <c r="H154" s="1035">
        <v>325163.2</v>
      </c>
      <c r="I154" s="882"/>
      <c r="J154" s="1010">
        <f t="shared" si="21"/>
        <v>390483.22499999998</v>
      </c>
      <c r="K154" s="1010">
        <f t="shared" si="22"/>
        <v>4874056.7750000004</v>
      </c>
      <c r="L154" s="1010">
        <f t="shared" si="23"/>
        <v>667330.21950000105</v>
      </c>
      <c r="M154" s="431">
        <v>12</v>
      </c>
      <c r="N154" s="1053">
        <f t="shared" si="24"/>
        <v>55610.851625000098</v>
      </c>
      <c r="O154" s="753">
        <v>55610.851625000098</v>
      </c>
      <c r="P154" s="753">
        <f t="shared" si="25"/>
        <v>0</v>
      </c>
      <c r="Q154" s="754"/>
      <c r="R154" s="436"/>
      <c r="S154" s="436"/>
    </row>
    <row r="155" spans="1:19" ht="15.75">
      <c r="A155" s="421">
        <v>8</v>
      </c>
      <c r="B155" s="597" t="s">
        <v>266</v>
      </c>
      <c r="C155" s="1010">
        <v>394900.83333333401</v>
      </c>
      <c r="D155" s="1040">
        <v>12</v>
      </c>
      <c r="E155" s="1010">
        <f t="shared" si="17"/>
        <v>4738810.0000000102</v>
      </c>
      <c r="F155" s="1010"/>
      <c r="G155" s="1010">
        <v>57653.825000000099</v>
      </c>
      <c r="H155" s="1035">
        <v>283104.80000000098</v>
      </c>
      <c r="I155" s="882"/>
      <c r="J155" s="1010">
        <f t="shared" si="21"/>
        <v>340758.62500000099</v>
      </c>
      <c r="K155" s="1010">
        <f t="shared" si="22"/>
        <v>4398051.3750000102</v>
      </c>
      <c r="L155" s="1010">
        <f t="shared" si="23"/>
        <v>581649.24750000099</v>
      </c>
      <c r="M155" s="431">
        <v>12</v>
      </c>
      <c r="N155" s="1053">
        <f t="shared" si="24"/>
        <v>48470.770625000099</v>
      </c>
      <c r="O155" s="753">
        <v>48470.770625000099</v>
      </c>
      <c r="P155" s="753">
        <f t="shared" si="25"/>
        <v>0</v>
      </c>
      <c r="Q155" s="754"/>
      <c r="R155" s="436"/>
      <c r="S155" s="436"/>
    </row>
    <row r="156" spans="1:19" ht="15.75">
      <c r="A156" s="421"/>
      <c r="B156" s="809" t="s">
        <v>120</v>
      </c>
      <c r="C156" s="1049">
        <f>SUM(C148:C155)</f>
        <v>4217668.3333333395</v>
      </c>
      <c r="D156" s="1050"/>
      <c r="E156" s="1049">
        <f t="shared" ref="E156:P156" si="27">SUM(E148:E155)</f>
        <v>50612020</v>
      </c>
      <c r="F156" s="1049"/>
      <c r="G156" s="1049">
        <f t="shared" si="27"/>
        <v>412262.25</v>
      </c>
      <c r="H156" s="1049">
        <f t="shared" si="27"/>
        <v>3204161.6</v>
      </c>
      <c r="I156" s="1049"/>
      <c r="J156" s="1049">
        <f t="shared" si="27"/>
        <v>3616423.85</v>
      </c>
      <c r="K156" s="1049">
        <f t="shared" si="27"/>
        <v>46995596.149999999</v>
      </c>
      <c r="L156" s="1049">
        <f t="shared" si="27"/>
        <v>6779207.307</v>
      </c>
      <c r="M156" s="1049"/>
      <c r="N156" s="1056">
        <f t="shared" si="27"/>
        <v>484995.99784999999</v>
      </c>
      <c r="O156" s="1049">
        <v>484995.99784999999</v>
      </c>
      <c r="P156" s="1049">
        <f t="shared" si="27"/>
        <v>0</v>
      </c>
      <c r="Q156" s="754"/>
      <c r="R156" s="436"/>
      <c r="S156" s="436"/>
    </row>
    <row r="157" spans="1:19" ht="15.75">
      <c r="A157" s="421"/>
      <c r="B157" s="809"/>
      <c r="C157" s="1010"/>
      <c r="D157" s="1040"/>
      <c r="E157" s="1010"/>
      <c r="F157" s="1065"/>
      <c r="G157" s="1065"/>
      <c r="H157" s="440"/>
      <c r="I157" s="440"/>
      <c r="J157" s="1010"/>
      <c r="K157" s="1010"/>
      <c r="L157" s="1010"/>
      <c r="M157" s="431"/>
      <c r="N157" s="1053"/>
      <c r="O157" s="753"/>
      <c r="P157" s="753"/>
      <c r="Q157" s="754"/>
      <c r="R157" s="436"/>
      <c r="S157" s="436"/>
    </row>
    <row r="158" spans="1:19" ht="15.75">
      <c r="A158" s="421"/>
      <c r="B158" s="809" t="s">
        <v>268</v>
      </c>
      <c r="C158" s="1010"/>
      <c r="D158" s="1040"/>
      <c r="E158" s="1010"/>
      <c r="F158" s="1065"/>
      <c r="G158" s="1065"/>
      <c r="H158" s="440"/>
      <c r="I158" s="440"/>
      <c r="J158" s="1010"/>
      <c r="K158" s="1010"/>
      <c r="L158" s="1010"/>
      <c r="M158" s="431"/>
      <c r="N158" s="1053"/>
      <c r="O158" s="753"/>
      <c r="P158" s="753"/>
      <c r="Q158" s="754"/>
      <c r="R158" s="436"/>
      <c r="S158" s="436"/>
    </row>
    <row r="159" spans="1:19" ht="15.75">
      <c r="A159" s="421">
        <v>1</v>
      </c>
      <c r="B159" s="597" t="s">
        <v>269</v>
      </c>
      <c r="C159" s="1010">
        <v>441140.66666666599</v>
      </c>
      <c r="D159" s="1040">
        <v>12</v>
      </c>
      <c r="E159" s="1010">
        <f t="shared" si="17"/>
        <v>5293687.9999999898</v>
      </c>
      <c r="F159" s="1065"/>
      <c r="G159" s="1065">
        <v>0</v>
      </c>
      <c r="H159" s="440">
        <v>365895.03999999899</v>
      </c>
      <c r="I159" s="440"/>
      <c r="J159" s="1010">
        <f t="shared" si="21"/>
        <v>365895.03999999899</v>
      </c>
      <c r="K159" s="1010">
        <f t="shared" si="22"/>
        <v>4927792.9599999897</v>
      </c>
      <c r="L159" s="1010">
        <f t="shared" si="23"/>
        <v>677002.73279999895</v>
      </c>
      <c r="M159" s="431">
        <v>12</v>
      </c>
      <c r="N159" s="1053">
        <f t="shared" si="24"/>
        <v>56416.894399999903</v>
      </c>
      <c r="O159" s="753">
        <v>56416.894399999903</v>
      </c>
      <c r="P159" s="753">
        <f t="shared" si="25"/>
        <v>0</v>
      </c>
      <c r="Q159" s="754"/>
      <c r="R159" s="436"/>
      <c r="S159" s="436"/>
    </row>
    <row r="160" spans="1:19" ht="15.75">
      <c r="A160" s="421">
        <v>2</v>
      </c>
      <c r="B160" s="597" t="s">
        <v>271</v>
      </c>
      <c r="C160" s="1010">
        <v>398711.66666666698</v>
      </c>
      <c r="D160" s="1040">
        <v>12</v>
      </c>
      <c r="E160" s="1010">
        <f t="shared" si="17"/>
        <v>4784540</v>
      </c>
      <c r="F160" s="1065"/>
      <c r="G160" s="1065">
        <v>0</v>
      </c>
      <c r="H160" s="440">
        <v>325163.2</v>
      </c>
      <c r="I160" s="440"/>
      <c r="J160" s="1010">
        <f t="shared" si="21"/>
        <v>325163.2</v>
      </c>
      <c r="K160" s="1010">
        <f t="shared" si="22"/>
        <v>4459376.8</v>
      </c>
      <c r="L160" s="1010">
        <f t="shared" si="23"/>
        <v>592687.82400000095</v>
      </c>
      <c r="M160" s="431">
        <v>12</v>
      </c>
      <c r="N160" s="1053">
        <f t="shared" si="24"/>
        <v>49390.652000000096</v>
      </c>
      <c r="O160" s="753">
        <v>49390.652000000096</v>
      </c>
      <c r="P160" s="753">
        <f t="shared" si="25"/>
        <v>0</v>
      </c>
      <c r="Q160" s="754"/>
      <c r="R160" s="436"/>
      <c r="S160" s="436"/>
    </row>
    <row r="161" spans="1:19" ht="15.75">
      <c r="A161" s="421">
        <v>3</v>
      </c>
      <c r="B161" s="313" t="s">
        <v>273</v>
      </c>
      <c r="C161" s="1010">
        <v>344900.83333333401</v>
      </c>
      <c r="D161" s="1040">
        <v>12</v>
      </c>
      <c r="E161" s="1010">
        <f t="shared" si="17"/>
        <v>4138810.0000000098</v>
      </c>
      <c r="F161" s="754"/>
      <c r="G161" s="754">
        <v>0</v>
      </c>
      <c r="H161" s="754">
        <v>283104.80000000098</v>
      </c>
      <c r="I161" s="754"/>
      <c r="J161" s="1010">
        <f t="shared" si="21"/>
        <v>283104.80000000098</v>
      </c>
      <c r="K161" s="1010">
        <f t="shared" si="22"/>
        <v>3855705.20000001</v>
      </c>
      <c r="L161" s="1010">
        <f t="shared" si="23"/>
        <v>484026.93600000098</v>
      </c>
      <c r="M161" s="431">
        <v>12</v>
      </c>
      <c r="N161" s="1053">
        <f t="shared" si="24"/>
        <v>40335.578000000103</v>
      </c>
      <c r="O161" s="753">
        <v>40335.578000000103</v>
      </c>
      <c r="P161" s="753">
        <f t="shared" si="25"/>
        <v>0</v>
      </c>
      <c r="Q161" s="754"/>
      <c r="R161" s="436"/>
      <c r="S161" s="436"/>
    </row>
    <row r="162" spans="1:19" ht="15.75">
      <c r="A162" s="421">
        <v>4</v>
      </c>
      <c r="B162" s="597" t="s">
        <v>275</v>
      </c>
      <c r="C162" s="1010">
        <v>337890.91666666698</v>
      </c>
      <c r="D162" s="1040">
        <v>12</v>
      </c>
      <c r="E162" s="1010">
        <f t="shared" si="17"/>
        <v>4054691</v>
      </c>
      <c r="F162" s="754"/>
      <c r="G162" s="754">
        <v>0</v>
      </c>
      <c r="H162" s="754">
        <v>276375.28000000003</v>
      </c>
      <c r="I162" s="754"/>
      <c r="J162" s="1010">
        <f t="shared" si="21"/>
        <v>276375.28000000003</v>
      </c>
      <c r="K162" s="1010">
        <f t="shared" si="22"/>
        <v>3778315.72</v>
      </c>
      <c r="L162" s="1010">
        <f t="shared" si="23"/>
        <v>470096.82960000099</v>
      </c>
      <c r="M162" s="431">
        <v>12</v>
      </c>
      <c r="N162" s="1053">
        <f t="shared" si="24"/>
        <v>39174.735800000097</v>
      </c>
      <c r="O162" s="753">
        <v>39174.735800000097</v>
      </c>
      <c r="P162" s="753">
        <f t="shared" si="25"/>
        <v>0</v>
      </c>
      <c r="Q162" s="754"/>
      <c r="R162" s="436"/>
      <c r="S162" s="436"/>
    </row>
    <row r="163" spans="1:19" ht="15.75">
      <c r="A163" s="421">
        <v>5</v>
      </c>
      <c r="B163" s="597" t="s">
        <v>278</v>
      </c>
      <c r="C163" s="1010">
        <v>344900.83333333401</v>
      </c>
      <c r="D163" s="1040">
        <v>12</v>
      </c>
      <c r="E163" s="1010">
        <f t="shared" si="17"/>
        <v>4138810.0000000098</v>
      </c>
      <c r="F163" s="1010"/>
      <c r="G163" s="1010">
        <v>0</v>
      </c>
      <c r="H163" s="1035">
        <v>283104.80000000098</v>
      </c>
      <c r="I163" s="882"/>
      <c r="J163" s="1010">
        <f t="shared" si="21"/>
        <v>283104.80000000098</v>
      </c>
      <c r="K163" s="1010">
        <f t="shared" si="22"/>
        <v>3855705.20000001</v>
      </c>
      <c r="L163" s="1010">
        <f t="shared" si="23"/>
        <v>484026.93600000098</v>
      </c>
      <c r="M163" s="431">
        <v>12</v>
      </c>
      <c r="N163" s="1053">
        <f t="shared" si="24"/>
        <v>40335.578000000103</v>
      </c>
      <c r="O163" s="753">
        <v>40335.578000000103</v>
      </c>
      <c r="P163" s="753">
        <f t="shared" si="25"/>
        <v>0</v>
      </c>
      <c r="Q163" s="754"/>
      <c r="R163" s="436"/>
      <c r="S163" s="436"/>
    </row>
    <row r="164" spans="1:19" ht="15.75">
      <c r="A164" s="421"/>
      <c r="B164" s="597" t="s">
        <v>120</v>
      </c>
      <c r="C164" s="1049">
        <f>SUM(C159:C163)</f>
        <v>1867544.91666667</v>
      </c>
      <c r="D164" s="1050"/>
      <c r="E164" s="1049">
        <f t="shared" ref="E164:P164" si="28">SUM(E159:E163)</f>
        <v>22410539</v>
      </c>
      <c r="F164" s="1049"/>
      <c r="G164" s="1049">
        <f t="shared" si="28"/>
        <v>0</v>
      </c>
      <c r="H164" s="1049">
        <f t="shared" si="28"/>
        <v>1533643.12</v>
      </c>
      <c r="I164" s="1049"/>
      <c r="J164" s="1049">
        <f t="shared" si="28"/>
        <v>1533643.12</v>
      </c>
      <c r="K164" s="1049">
        <f t="shared" si="28"/>
        <v>20876895.879999999</v>
      </c>
      <c r="L164" s="1049">
        <f t="shared" si="28"/>
        <v>2707841.2584000002</v>
      </c>
      <c r="M164" s="1049"/>
      <c r="N164" s="1056">
        <f t="shared" si="28"/>
        <v>225653.4382</v>
      </c>
      <c r="O164" s="1049">
        <v>225653.4382</v>
      </c>
      <c r="P164" s="1049">
        <f t="shared" si="28"/>
        <v>0</v>
      </c>
      <c r="Q164" s="754"/>
      <c r="R164" s="436"/>
      <c r="S164" s="436"/>
    </row>
    <row r="165" spans="1:19" ht="15.75">
      <c r="A165" s="421"/>
      <c r="B165" s="593"/>
      <c r="C165" s="1010"/>
      <c r="D165" s="1040"/>
      <c r="E165" s="1010"/>
      <c r="F165" s="1010"/>
      <c r="G165" s="1010"/>
      <c r="H165" s="1035"/>
      <c r="I165" s="882"/>
      <c r="J165" s="1010"/>
      <c r="K165" s="1010"/>
      <c r="L165" s="1010"/>
      <c r="M165" s="431"/>
      <c r="N165" s="1053"/>
      <c r="O165" s="753"/>
      <c r="P165" s="753"/>
      <c r="Q165" s="754"/>
      <c r="R165" s="436"/>
      <c r="S165" s="436"/>
    </row>
    <row r="166" spans="1:19" ht="15.75">
      <c r="A166" s="421"/>
      <c r="B166" s="809" t="s">
        <v>280</v>
      </c>
      <c r="C166" s="1010"/>
      <c r="D166" s="1040"/>
      <c r="E166" s="1010"/>
      <c r="F166" s="1010"/>
      <c r="G166" s="1010"/>
      <c r="H166" s="1035"/>
      <c r="I166" s="882"/>
      <c r="J166" s="1010"/>
      <c r="K166" s="1010"/>
      <c r="L166" s="1010"/>
      <c r="M166" s="431"/>
      <c r="N166" s="1053"/>
      <c r="O166" s="753"/>
      <c r="P166" s="753"/>
      <c r="Q166" s="754"/>
      <c r="R166" s="436"/>
      <c r="S166" s="436"/>
    </row>
    <row r="167" spans="1:19" ht="15.75">
      <c r="A167" s="421">
        <v>1</v>
      </c>
      <c r="B167" s="597" t="s">
        <v>281</v>
      </c>
      <c r="C167" s="1010">
        <v>1947106.41666666</v>
      </c>
      <c r="D167" s="1040">
        <v>12</v>
      </c>
      <c r="E167" s="1010">
        <f t="shared" ref="E167:E233" si="29">C167*D167</f>
        <v>23365276.999999899</v>
      </c>
      <c r="F167" s="1010"/>
      <c r="G167" s="1010">
        <v>326033.12499999901</v>
      </c>
      <c r="H167" s="1035">
        <v>1677222.1599999899</v>
      </c>
      <c r="I167" s="882"/>
      <c r="J167" s="1010">
        <f t="shared" si="21"/>
        <v>2003255.2849999899</v>
      </c>
      <c r="K167" s="1010">
        <f t="shared" si="22"/>
        <v>21362021.714999899</v>
      </c>
      <c r="L167" s="1010">
        <f t="shared" si="23"/>
        <v>3916024.5601499798</v>
      </c>
      <c r="M167" s="431">
        <v>12</v>
      </c>
      <c r="N167" s="1053">
        <f t="shared" si="24"/>
        <v>326335.380012498</v>
      </c>
      <c r="O167" s="753">
        <v>326335.380012498</v>
      </c>
      <c r="P167" s="753">
        <f t="shared" si="25"/>
        <v>0</v>
      </c>
      <c r="Q167" s="754"/>
      <c r="R167" s="436"/>
      <c r="S167" s="436"/>
    </row>
    <row r="168" spans="1:19" ht="15.75">
      <c r="A168" s="421">
        <v>2</v>
      </c>
      <c r="B168" s="597" t="s">
        <v>283</v>
      </c>
      <c r="C168" s="1010">
        <v>1095306.75</v>
      </c>
      <c r="D168" s="1040">
        <v>12</v>
      </c>
      <c r="E168" s="1010">
        <f t="shared" si="29"/>
        <v>13143681</v>
      </c>
      <c r="F168" s="1010"/>
      <c r="G168" s="715">
        <v>166400.85</v>
      </c>
      <c r="H168" s="1035">
        <v>869094.48</v>
      </c>
      <c r="I168" s="882"/>
      <c r="J168" s="1010">
        <f t="shared" si="21"/>
        <v>1035495.33</v>
      </c>
      <c r="K168" s="1010">
        <f t="shared" si="22"/>
        <v>12108185.67</v>
      </c>
      <c r="L168" s="1010">
        <f t="shared" si="23"/>
        <v>1972718.9907</v>
      </c>
      <c r="M168" s="431">
        <v>12</v>
      </c>
      <c r="N168" s="1053">
        <f t="shared" si="24"/>
        <v>164393.24922500001</v>
      </c>
      <c r="O168" s="753">
        <v>164393.24922500001</v>
      </c>
      <c r="P168" s="753">
        <f t="shared" si="25"/>
        <v>0</v>
      </c>
      <c r="Q168" s="754"/>
      <c r="R168" s="436"/>
      <c r="S168" s="436"/>
    </row>
    <row r="169" spans="1:19" ht="15.75">
      <c r="A169" s="421">
        <v>3</v>
      </c>
      <c r="B169" s="597" t="s">
        <v>285</v>
      </c>
      <c r="C169" s="1010">
        <v>1125306.75</v>
      </c>
      <c r="D169" s="1040">
        <v>12</v>
      </c>
      <c r="E169" s="1010">
        <f t="shared" si="29"/>
        <v>13503681</v>
      </c>
      <c r="F169" s="1010"/>
      <c r="G169" s="715">
        <v>166400.85</v>
      </c>
      <c r="H169" s="1035">
        <v>869094.48</v>
      </c>
      <c r="I169" s="882"/>
      <c r="J169" s="1010">
        <f t="shared" si="21"/>
        <v>1035495.33</v>
      </c>
      <c r="K169" s="1010">
        <f t="shared" si="22"/>
        <v>12468185.67</v>
      </c>
      <c r="L169" s="1010">
        <f t="shared" si="23"/>
        <v>2048318.9907</v>
      </c>
      <c r="M169" s="431">
        <v>12</v>
      </c>
      <c r="N169" s="1053">
        <f t="shared" si="24"/>
        <v>170693.24922500001</v>
      </c>
      <c r="O169" s="753">
        <v>170693.24922500001</v>
      </c>
      <c r="P169" s="753">
        <f t="shared" si="25"/>
        <v>0</v>
      </c>
      <c r="Q169" s="754"/>
      <c r="R169" s="436"/>
      <c r="S169" s="436"/>
    </row>
    <row r="170" spans="1:19" ht="15.75">
      <c r="A170" s="421">
        <v>4</v>
      </c>
      <c r="B170" s="313" t="s">
        <v>286</v>
      </c>
      <c r="C170" s="1010">
        <v>802595.5</v>
      </c>
      <c r="D170" s="1040">
        <v>12</v>
      </c>
      <c r="E170" s="1010">
        <f t="shared" si="29"/>
        <v>9631146</v>
      </c>
      <c r="F170" s="1010"/>
      <c r="G170" s="1010">
        <v>0</v>
      </c>
      <c r="H170" s="1035">
        <v>693691.68</v>
      </c>
      <c r="I170" s="882"/>
      <c r="J170" s="1010">
        <f t="shared" si="21"/>
        <v>693691.68</v>
      </c>
      <c r="K170" s="1010">
        <f t="shared" si="22"/>
        <v>8937454.3200000003</v>
      </c>
      <c r="L170" s="1010">
        <f t="shared" si="23"/>
        <v>1398741.7775999999</v>
      </c>
      <c r="M170" s="431">
        <v>12</v>
      </c>
      <c r="N170" s="1053">
        <f t="shared" si="24"/>
        <v>116561.81479999999</v>
      </c>
      <c r="O170" s="753">
        <v>116561.81479999999</v>
      </c>
      <c r="P170" s="753">
        <f t="shared" si="25"/>
        <v>0</v>
      </c>
      <c r="Q170" s="754"/>
      <c r="R170" s="436"/>
      <c r="S170" s="436"/>
    </row>
    <row r="171" spans="1:19" ht="15.75">
      <c r="A171" s="421">
        <v>5</v>
      </c>
      <c r="B171" s="313" t="s">
        <v>288</v>
      </c>
      <c r="C171" s="1010">
        <v>780713.91666666605</v>
      </c>
      <c r="D171" s="1040">
        <v>12</v>
      </c>
      <c r="E171" s="1010">
        <f t="shared" si="29"/>
        <v>9368566.9999999907</v>
      </c>
      <c r="F171" s="1010"/>
      <c r="G171" s="1010">
        <v>0</v>
      </c>
      <c r="H171" s="1035">
        <v>672685.35999999905</v>
      </c>
      <c r="I171" s="882"/>
      <c r="J171" s="1010">
        <f t="shared" si="21"/>
        <v>672685.35999999905</v>
      </c>
      <c r="K171" s="1010">
        <f t="shared" si="22"/>
        <v>8695881.6399999894</v>
      </c>
      <c r="L171" s="1010">
        <f t="shared" si="23"/>
        <v>1355258.6952</v>
      </c>
      <c r="M171" s="431">
        <v>12</v>
      </c>
      <c r="N171" s="1053">
        <f t="shared" si="24"/>
        <v>112938.2246</v>
      </c>
      <c r="O171" s="753">
        <v>112938.2246</v>
      </c>
      <c r="P171" s="753">
        <f t="shared" si="25"/>
        <v>-1.16415321826935E-10</v>
      </c>
      <c r="Q171" s="754"/>
      <c r="R171" s="436"/>
      <c r="S171" s="436"/>
    </row>
    <row r="172" spans="1:19" ht="15.75">
      <c r="A172" s="421">
        <v>6</v>
      </c>
      <c r="B172" s="313" t="s">
        <v>289</v>
      </c>
      <c r="C172" s="1010">
        <v>643911.08333333395</v>
      </c>
      <c r="D172" s="1040">
        <v>12</v>
      </c>
      <c r="E172" s="1010">
        <f t="shared" si="29"/>
        <v>7726933.0000000102</v>
      </c>
      <c r="F172" s="1010"/>
      <c r="G172" s="1010">
        <v>107120</v>
      </c>
      <c r="H172" s="1035">
        <v>550954.64000000095</v>
      </c>
      <c r="I172" s="882"/>
      <c r="J172" s="1010">
        <f t="shared" si="21"/>
        <v>658074.64000000095</v>
      </c>
      <c r="K172" s="1010">
        <f t="shared" si="22"/>
        <v>7068858.3600000096</v>
      </c>
      <c r="L172" s="1010">
        <f t="shared" si="23"/>
        <v>1062394.5048</v>
      </c>
      <c r="M172" s="431">
        <v>12</v>
      </c>
      <c r="N172" s="1053">
        <f t="shared" si="24"/>
        <v>88532.875400000106</v>
      </c>
      <c r="O172" s="753">
        <v>88532.875400000106</v>
      </c>
      <c r="P172" s="753">
        <f t="shared" si="25"/>
        <v>0</v>
      </c>
      <c r="Q172" s="754"/>
      <c r="R172" s="436"/>
      <c r="S172" s="436"/>
    </row>
    <row r="173" spans="1:19" ht="15.75">
      <c r="A173" s="421">
        <v>7</v>
      </c>
      <c r="B173" s="313" t="s">
        <v>291</v>
      </c>
      <c r="C173" s="1010">
        <v>659657</v>
      </c>
      <c r="D173" s="1040">
        <v>12</v>
      </c>
      <c r="E173" s="1010">
        <f t="shared" si="29"/>
        <v>7915884</v>
      </c>
      <c r="F173" s="1010"/>
      <c r="G173" s="1010">
        <v>109925.25</v>
      </c>
      <c r="H173" s="1035">
        <v>566070.72</v>
      </c>
      <c r="I173" s="882"/>
      <c r="J173" s="1010">
        <f t="shared" si="21"/>
        <v>675995.97</v>
      </c>
      <c r="K173" s="1010">
        <f t="shared" si="22"/>
        <v>7239888.0300000003</v>
      </c>
      <c r="L173" s="1010">
        <f t="shared" si="23"/>
        <v>1093179.8454</v>
      </c>
      <c r="M173" s="431">
        <v>12</v>
      </c>
      <c r="N173" s="1053">
        <f t="shared" si="24"/>
        <v>91098.320449999999</v>
      </c>
      <c r="O173" s="753">
        <v>91098.320449999999</v>
      </c>
      <c r="P173" s="753">
        <f t="shared" si="25"/>
        <v>0</v>
      </c>
      <c r="Q173" s="754"/>
      <c r="R173" s="436"/>
      <c r="S173" s="436"/>
    </row>
    <row r="174" spans="1:19" ht="15.75">
      <c r="A174" s="421">
        <v>8</v>
      </c>
      <c r="B174" s="313" t="s">
        <v>292</v>
      </c>
      <c r="C174" s="1010">
        <v>398711.66666666698</v>
      </c>
      <c r="D174" s="1040">
        <v>12</v>
      </c>
      <c r="E174" s="1010">
        <f t="shared" si="29"/>
        <v>4784540</v>
      </c>
      <c r="F174" s="1010"/>
      <c r="G174" s="1010">
        <v>0</v>
      </c>
      <c r="H174" s="1035">
        <v>325163.2</v>
      </c>
      <c r="I174" s="882"/>
      <c r="J174" s="1010">
        <f t="shared" si="21"/>
        <v>325163.2</v>
      </c>
      <c r="K174" s="1010">
        <f t="shared" si="22"/>
        <v>4459376.8</v>
      </c>
      <c r="L174" s="1010">
        <f t="shared" si="23"/>
        <v>592687.82400000002</v>
      </c>
      <c r="M174" s="431">
        <v>12</v>
      </c>
      <c r="N174" s="1053">
        <f t="shared" si="24"/>
        <v>49390.652000000002</v>
      </c>
      <c r="O174" s="753">
        <v>49390.652000000002</v>
      </c>
      <c r="P174" s="753">
        <f t="shared" si="25"/>
        <v>0</v>
      </c>
      <c r="Q174" s="754"/>
      <c r="R174" s="436"/>
      <c r="S174" s="436"/>
    </row>
    <row r="175" spans="1:19" ht="15.75">
      <c r="A175" s="421">
        <v>9</v>
      </c>
      <c r="B175" s="313" t="s">
        <v>294</v>
      </c>
      <c r="C175" s="1010">
        <v>432145.33333333302</v>
      </c>
      <c r="D175" s="1040">
        <v>12</v>
      </c>
      <c r="E175" s="1010">
        <f t="shared" si="29"/>
        <v>5185744</v>
      </c>
      <c r="F175" s="1010"/>
      <c r="G175" s="1010">
        <v>0</v>
      </c>
      <c r="H175" s="1035">
        <v>357259.52000000002</v>
      </c>
      <c r="I175" s="882"/>
      <c r="J175" s="1010">
        <f t="shared" si="21"/>
        <v>357259.52000000002</v>
      </c>
      <c r="K175" s="1010">
        <f t="shared" si="22"/>
        <v>4828484.4800000004</v>
      </c>
      <c r="L175" s="1010">
        <f t="shared" si="23"/>
        <v>659127.20640000002</v>
      </c>
      <c r="M175" s="431">
        <v>12</v>
      </c>
      <c r="N175" s="1053">
        <f t="shared" si="24"/>
        <v>54927.267200000002</v>
      </c>
      <c r="O175" s="753">
        <v>54927.267200000002</v>
      </c>
      <c r="P175" s="753">
        <f t="shared" si="25"/>
        <v>0</v>
      </c>
      <c r="Q175" s="754"/>
      <c r="R175" s="436"/>
      <c r="S175" s="436"/>
    </row>
    <row r="176" spans="1:19" ht="15.75">
      <c r="A176" s="421">
        <v>10</v>
      </c>
      <c r="B176" s="313" t="s">
        <v>296</v>
      </c>
      <c r="C176" s="1010">
        <v>358920.66666666698</v>
      </c>
      <c r="D176" s="1040">
        <v>12</v>
      </c>
      <c r="E176" s="1010">
        <f t="shared" si="29"/>
        <v>4307048</v>
      </c>
      <c r="F176" s="1010"/>
      <c r="G176" s="1010">
        <v>60164.825000000099</v>
      </c>
      <c r="H176" s="1035">
        <v>296563.84000000003</v>
      </c>
      <c r="I176" s="882"/>
      <c r="J176" s="1010">
        <f t="shared" si="21"/>
        <v>356728.66499999998</v>
      </c>
      <c r="K176" s="1010">
        <f t="shared" si="22"/>
        <v>3950319.335</v>
      </c>
      <c r="L176" s="1010">
        <f t="shared" si="23"/>
        <v>501057.4803</v>
      </c>
      <c r="M176" s="431">
        <v>12</v>
      </c>
      <c r="N176" s="1053">
        <f t="shared" si="24"/>
        <v>41754.790025000002</v>
      </c>
      <c r="O176" s="753">
        <v>41754.790025000002</v>
      </c>
      <c r="P176" s="753">
        <f t="shared" si="25"/>
        <v>0</v>
      </c>
      <c r="Q176" s="754"/>
      <c r="R176" s="436"/>
      <c r="S176" s="436"/>
    </row>
    <row r="177" spans="1:19" ht="15.75">
      <c r="A177" s="421">
        <v>11</v>
      </c>
      <c r="B177" s="313" t="s">
        <v>298</v>
      </c>
      <c r="C177" s="1010">
        <v>358920.66666666698</v>
      </c>
      <c r="D177" s="1040">
        <v>12</v>
      </c>
      <c r="E177" s="1010">
        <f t="shared" si="29"/>
        <v>4307048</v>
      </c>
      <c r="F177" s="1010"/>
      <c r="G177" s="1010">
        <v>60164.825000000099</v>
      </c>
      <c r="H177" s="1035">
        <v>296563.84000000003</v>
      </c>
      <c r="I177" s="882"/>
      <c r="J177" s="1010">
        <f t="shared" si="21"/>
        <v>356728.66499999998</v>
      </c>
      <c r="K177" s="1010">
        <f t="shared" si="22"/>
        <v>3950319.335</v>
      </c>
      <c r="L177" s="1010">
        <f t="shared" si="23"/>
        <v>501057.4803</v>
      </c>
      <c r="M177" s="431">
        <v>12</v>
      </c>
      <c r="N177" s="1053">
        <f t="shared" si="24"/>
        <v>41754.790025000002</v>
      </c>
      <c r="O177" s="753">
        <v>41754.790025000002</v>
      </c>
      <c r="P177" s="753">
        <f t="shared" si="25"/>
        <v>0</v>
      </c>
      <c r="Q177" s="754"/>
      <c r="R177" s="436"/>
      <c r="S177" s="436"/>
    </row>
    <row r="178" spans="1:19" ht="15.75">
      <c r="A178" s="421">
        <v>12</v>
      </c>
      <c r="B178" s="313" t="s">
        <v>299</v>
      </c>
      <c r="C178" s="1010">
        <v>351910.75</v>
      </c>
      <c r="D178" s="1040">
        <v>12</v>
      </c>
      <c r="E178" s="1010">
        <f t="shared" si="29"/>
        <v>4222929</v>
      </c>
      <c r="F178" s="1010"/>
      <c r="G178" s="1010">
        <v>58909.325000000099</v>
      </c>
      <c r="H178" s="1035">
        <v>289834.32</v>
      </c>
      <c r="I178" s="882"/>
      <c r="J178" s="1010">
        <f t="shared" si="21"/>
        <v>348743.64500000002</v>
      </c>
      <c r="K178" s="1010">
        <f t="shared" si="22"/>
        <v>3874185.355</v>
      </c>
      <c r="L178" s="1010">
        <f t="shared" si="23"/>
        <v>487353.3639</v>
      </c>
      <c r="M178" s="431">
        <v>12</v>
      </c>
      <c r="N178" s="1053">
        <f t="shared" si="24"/>
        <v>40612.780325</v>
      </c>
      <c r="O178" s="753">
        <v>40612.780325</v>
      </c>
      <c r="P178" s="753">
        <f t="shared" si="25"/>
        <v>0</v>
      </c>
      <c r="Q178" s="754"/>
      <c r="R178" s="436"/>
      <c r="S178" s="436"/>
    </row>
    <row r="179" spans="1:19" ht="15.75">
      <c r="A179" s="421"/>
      <c r="B179" s="809" t="s">
        <v>120</v>
      </c>
      <c r="C179" s="1049">
        <f>SUM(C167:C178)</f>
        <v>8955206.4999999907</v>
      </c>
      <c r="D179" s="1050"/>
      <c r="E179" s="1049">
        <f t="shared" ref="E179:P179" si="30">SUM(E167:E178)</f>
        <v>107462478</v>
      </c>
      <c r="F179" s="1049"/>
      <c r="G179" s="1049">
        <f t="shared" si="30"/>
        <v>1055119.05</v>
      </c>
      <c r="H179" s="1049">
        <f t="shared" si="30"/>
        <v>7464198.23999999</v>
      </c>
      <c r="I179" s="1049"/>
      <c r="J179" s="1049">
        <f t="shared" si="30"/>
        <v>8519317.2899999898</v>
      </c>
      <c r="K179" s="1049">
        <f t="shared" si="30"/>
        <v>98943160.709999904</v>
      </c>
      <c r="L179" s="1049">
        <f t="shared" si="30"/>
        <v>15587920.719450001</v>
      </c>
      <c r="M179" s="1049"/>
      <c r="N179" s="1056">
        <f t="shared" si="30"/>
        <v>1298993.3932874999</v>
      </c>
      <c r="O179" s="1049">
        <v>1298993.3932874999</v>
      </c>
      <c r="P179" s="1049">
        <f t="shared" si="30"/>
        <v>-1.16415321826935E-10</v>
      </c>
      <c r="Q179" s="754"/>
      <c r="R179" s="436"/>
      <c r="S179" s="436"/>
    </row>
    <row r="180" spans="1:19" ht="15.75">
      <c r="A180" s="421"/>
      <c r="B180" s="812"/>
      <c r="C180" s="1010"/>
      <c r="D180" s="1040"/>
      <c r="E180" s="1010"/>
      <c r="F180" s="754"/>
      <c r="G180" s="754"/>
      <c r="H180" s="754"/>
      <c r="I180" s="754"/>
      <c r="J180" s="1010"/>
      <c r="K180" s="1010"/>
      <c r="L180" s="1010"/>
      <c r="M180" s="431"/>
      <c r="N180" s="1053"/>
      <c r="O180" s="753"/>
      <c r="P180" s="753"/>
      <c r="Q180" s="754"/>
      <c r="R180" s="436"/>
      <c r="S180" s="436"/>
    </row>
    <row r="181" spans="1:19" ht="31.5">
      <c r="A181" s="421"/>
      <c r="B181" s="809" t="s">
        <v>301</v>
      </c>
      <c r="C181" s="1010"/>
      <c r="D181" s="1040"/>
      <c r="E181" s="1010"/>
      <c r="F181" s="754"/>
      <c r="G181" s="754"/>
      <c r="H181" s="754"/>
      <c r="I181" s="754"/>
      <c r="J181" s="1010"/>
      <c r="K181" s="1010"/>
      <c r="L181" s="1010"/>
      <c r="M181" s="431"/>
      <c r="N181" s="1053"/>
      <c r="O181" s="753"/>
      <c r="P181" s="753"/>
      <c r="Q181" s="754"/>
      <c r="R181" s="436"/>
      <c r="S181" s="436"/>
    </row>
    <row r="182" spans="1:19" ht="15.75">
      <c r="A182" s="421">
        <v>1</v>
      </c>
      <c r="B182" s="593" t="s">
        <v>302</v>
      </c>
      <c r="C182" s="1010">
        <v>1797359.33333333</v>
      </c>
      <c r="D182" s="1040">
        <v>12</v>
      </c>
      <c r="E182" s="1010">
        <f t="shared" si="29"/>
        <v>21568312</v>
      </c>
      <c r="F182" s="1010"/>
      <c r="G182" s="1010">
        <v>316881.84999999899</v>
      </c>
      <c r="H182" s="1035">
        <v>1629464.96</v>
      </c>
      <c r="I182" s="882"/>
      <c r="J182" s="1010">
        <f t="shared" si="21"/>
        <v>1946346.81</v>
      </c>
      <c r="K182" s="1010">
        <f t="shared" si="22"/>
        <v>19621965.190000001</v>
      </c>
      <c r="L182" s="1010">
        <f t="shared" si="23"/>
        <v>3550612.6899000001</v>
      </c>
      <c r="M182" s="431">
        <v>12</v>
      </c>
      <c r="N182" s="1053">
        <f t="shared" si="24"/>
        <v>295884.39082500001</v>
      </c>
      <c r="O182" s="753">
        <v>295884.39082500001</v>
      </c>
      <c r="P182" s="753">
        <f t="shared" si="25"/>
        <v>0</v>
      </c>
      <c r="Q182" s="754"/>
      <c r="R182" s="436"/>
      <c r="S182" s="436"/>
    </row>
    <row r="183" spans="1:19" ht="15.75">
      <c r="A183" s="421">
        <v>2</v>
      </c>
      <c r="B183" s="593" t="s">
        <v>305</v>
      </c>
      <c r="C183" s="1010">
        <v>1045306.75</v>
      </c>
      <c r="D183" s="1040">
        <v>12</v>
      </c>
      <c r="E183" s="1010">
        <f t="shared" si="29"/>
        <v>12543681</v>
      </c>
      <c r="F183" s="1010"/>
      <c r="G183" s="1010">
        <v>166400.85</v>
      </c>
      <c r="H183" s="1035">
        <v>869094.48</v>
      </c>
      <c r="I183" s="882"/>
      <c r="J183" s="1010">
        <f t="shared" si="21"/>
        <v>1035495.33</v>
      </c>
      <c r="K183" s="1010">
        <f t="shared" si="22"/>
        <v>11508185.67</v>
      </c>
      <c r="L183" s="1010">
        <f t="shared" si="23"/>
        <v>1861473.4206000001</v>
      </c>
      <c r="M183" s="431">
        <v>12</v>
      </c>
      <c r="N183" s="1053">
        <f t="shared" si="24"/>
        <v>155122.78505000001</v>
      </c>
      <c r="O183" s="753">
        <v>155122.78505000001</v>
      </c>
      <c r="P183" s="753">
        <f t="shared" si="25"/>
        <v>0</v>
      </c>
      <c r="Q183" s="754"/>
      <c r="R183" s="436"/>
      <c r="S183" s="436"/>
    </row>
    <row r="184" spans="1:19" ht="15.75">
      <c r="A184" s="421">
        <v>3</v>
      </c>
      <c r="B184" s="597" t="s">
        <v>307</v>
      </c>
      <c r="C184" s="1010">
        <v>802595.5</v>
      </c>
      <c r="D184" s="1040">
        <v>12</v>
      </c>
      <c r="E184" s="1010">
        <f t="shared" si="29"/>
        <v>9631146</v>
      </c>
      <c r="F184" s="1010"/>
      <c r="G184" s="1010">
        <v>133798.75</v>
      </c>
      <c r="H184" s="1035">
        <v>693691.68</v>
      </c>
      <c r="I184" s="882"/>
      <c r="J184" s="1010">
        <f t="shared" si="21"/>
        <v>827490.43</v>
      </c>
      <c r="K184" s="1010">
        <f t="shared" si="22"/>
        <v>8803655.5700000003</v>
      </c>
      <c r="L184" s="1010">
        <f t="shared" si="23"/>
        <v>1374658.0026</v>
      </c>
      <c r="M184" s="431">
        <v>12</v>
      </c>
      <c r="N184" s="1053">
        <f t="shared" si="24"/>
        <v>114554.83355</v>
      </c>
      <c r="O184" s="753">
        <v>114554.83355</v>
      </c>
      <c r="P184" s="753">
        <f t="shared" si="25"/>
        <v>0</v>
      </c>
      <c r="Q184" s="754"/>
      <c r="R184" s="436"/>
      <c r="S184" s="436"/>
    </row>
    <row r="185" spans="1:19" ht="15.75">
      <c r="A185" s="421">
        <v>4</v>
      </c>
      <c r="B185" s="597" t="s">
        <v>309</v>
      </c>
      <c r="C185" s="1010">
        <v>802595.5</v>
      </c>
      <c r="D185" s="1040">
        <v>12</v>
      </c>
      <c r="E185" s="1010">
        <f t="shared" si="29"/>
        <v>9631146</v>
      </c>
      <c r="F185" s="1010"/>
      <c r="G185" s="1010">
        <v>133798.75</v>
      </c>
      <c r="H185" s="1035">
        <v>693691.68</v>
      </c>
      <c r="I185" s="882"/>
      <c r="J185" s="1010">
        <f t="shared" si="21"/>
        <v>827490.43</v>
      </c>
      <c r="K185" s="1010">
        <f t="shared" si="22"/>
        <v>8803655.5700000003</v>
      </c>
      <c r="L185" s="1010">
        <f t="shared" si="23"/>
        <v>1374658.0026</v>
      </c>
      <c r="M185" s="431">
        <v>12</v>
      </c>
      <c r="N185" s="1053">
        <f t="shared" si="24"/>
        <v>114554.83355</v>
      </c>
      <c r="O185" s="753">
        <v>114554.83355</v>
      </c>
      <c r="P185" s="753">
        <f t="shared" si="25"/>
        <v>0</v>
      </c>
      <c r="Q185" s="754"/>
      <c r="R185" s="436"/>
      <c r="S185" s="436"/>
    </row>
    <row r="186" spans="1:19" ht="15.75">
      <c r="A186" s="421">
        <v>5</v>
      </c>
      <c r="B186" s="597" t="s">
        <v>311</v>
      </c>
      <c r="C186" s="1010">
        <v>802595.5</v>
      </c>
      <c r="D186" s="1040">
        <v>12</v>
      </c>
      <c r="E186" s="1010">
        <f t="shared" si="29"/>
        <v>9631146</v>
      </c>
      <c r="F186" s="1010"/>
      <c r="G186" s="1010">
        <v>133798.75</v>
      </c>
      <c r="H186" s="1035">
        <v>693691.68</v>
      </c>
      <c r="I186" s="882"/>
      <c r="J186" s="1010">
        <f t="shared" si="21"/>
        <v>827490.43</v>
      </c>
      <c r="K186" s="1010">
        <f t="shared" si="22"/>
        <v>8803655.5700000003</v>
      </c>
      <c r="L186" s="1010">
        <f t="shared" si="23"/>
        <v>1374658.0026</v>
      </c>
      <c r="M186" s="431">
        <v>12</v>
      </c>
      <c r="N186" s="1053">
        <f t="shared" si="24"/>
        <v>114554.83355</v>
      </c>
      <c r="O186" s="753">
        <v>114554.83355</v>
      </c>
      <c r="P186" s="753">
        <f t="shared" si="25"/>
        <v>0</v>
      </c>
      <c r="Q186" s="754"/>
      <c r="R186" s="436"/>
      <c r="S186" s="436"/>
    </row>
    <row r="187" spans="1:19" ht="26.1" customHeight="1">
      <c r="A187" s="421">
        <v>6</v>
      </c>
      <c r="B187" s="597" t="s">
        <v>312</v>
      </c>
      <c r="C187" s="1010">
        <v>612419.5</v>
      </c>
      <c r="D187" s="1040">
        <v>12</v>
      </c>
      <c r="E187" s="1010">
        <f t="shared" si="29"/>
        <v>7349034</v>
      </c>
      <c r="F187" s="1010"/>
      <c r="G187" s="1010">
        <v>0</v>
      </c>
      <c r="H187" s="1035">
        <v>520722.72</v>
      </c>
      <c r="I187" s="882"/>
      <c r="J187" s="1010">
        <f t="shared" si="21"/>
        <v>520722.72</v>
      </c>
      <c r="K187" s="1010">
        <f t="shared" si="22"/>
        <v>6828311.2800000003</v>
      </c>
      <c r="L187" s="1010">
        <f t="shared" si="23"/>
        <v>1019096.0304</v>
      </c>
      <c r="M187" s="431">
        <v>12</v>
      </c>
      <c r="N187" s="1053">
        <f t="shared" si="24"/>
        <v>84924.669200000004</v>
      </c>
      <c r="O187" s="753">
        <v>84924.669200000004</v>
      </c>
      <c r="P187" s="753">
        <f t="shared" si="25"/>
        <v>0</v>
      </c>
      <c r="Q187" s="754"/>
      <c r="R187" s="436"/>
      <c r="S187" s="436"/>
    </row>
    <row r="188" spans="1:19" ht="15.75">
      <c r="A188" s="421">
        <v>7</v>
      </c>
      <c r="B188" s="597" t="s">
        <v>314</v>
      </c>
      <c r="C188" s="1010">
        <v>567472.75</v>
      </c>
      <c r="D188" s="1040">
        <v>12</v>
      </c>
      <c r="E188" s="1010">
        <f t="shared" si="29"/>
        <v>6809673</v>
      </c>
      <c r="F188" s="1010"/>
      <c r="G188" s="1010">
        <v>0</v>
      </c>
      <c r="H188" s="1035">
        <v>477573.84</v>
      </c>
      <c r="I188" s="882"/>
      <c r="J188" s="1010">
        <f t="shared" si="21"/>
        <v>477573.84</v>
      </c>
      <c r="K188" s="1010">
        <f t="shared" si="22"/>
        <v>6332099.1600000001</v>
      </c>
      <c r="L188" s="1010">
        <f t="shared" si="23"/>
        <v>929777.84880000004</v>
      </c>
      <c r="M188" s="431">
        <v>12</v>
      </c>
      <c r="N188" s="1053">
        <f t="shared" si="24"/>
        <v>77481.487399999998</v>
      </c>
      <c r="O188" s="753">
        <v>77481.487399999998</v>
      </c>
      <c r="P188" s="753">
        <f t="shared" si="25"/>
        <v>0</v>
      </c>
      <c r="Q188" s="754"/>
      <c r="R188" s="436"/>
      <c r="S188" s="436"/>
    </row>
    <row r="189" spans="1:19" ht="15.75">
      <c r="A189" s="421">
        <v>8</v>
      </c>
      <c r="B189" s="597" t="s">
        <v>315</v>
      </c>
      <c r="C189" s="1010">
        <v>617472.75</v>
      </c>
      <c r="D189" s="1040">
        <v>12</v>
      </c>
      <c r="E189" s="1010">
        <f t="shared" si="29"/>
        <v>7409673</v>
      </c>
      <c r="F189" s="1010"/>
      <c r="G189" s="1010">
        <v>0</v>
      </c>
      <c r="H189" s="1035">
        <v>477573.84</v>
      </c>
      <c r="I189" s="882"/>
      <c r="J189" s="1010">
        <f t="shared" si="21"/>
        <v>477573.84</v>
      </c>
      <c r="K189" s="1010">
        <f t="shared" si="22"/>
        <v>6932099.1600000001</v>
      </c>
      <c r="L189" s="1010">
        <f t="shared" si="23"/>
        <v>1037777.8488</v>
      </c>
      <c r="M189" s="431">
        <v>12</v>
      </c>
      <c r="N189" s="1053">
        <f t="shared" si="24"/>
        <v>86481.487399999998</v>
      </c>
      <c r="O189" s="753">
        <v>86481.487399999998</v>
      </c>
      <c r="P189" s="753">
        <f t="shared" si="25"/>
        <v>0</v>
      </c>
      <c r="Q189" s="754"/>
      <c r="R189" s="436"/>
      <c r="S189" s="436"/>
    </row>
    <row r="190" spans="1:19" ht="31.5">
      <c r="A190" s="421">
        <v>9</v>
      </c>
      <c r="B190" s="597" t="s">
        <v>317</v>
      </c>
      <c r="C190" s="1010">
        <v>552846.58333333395</v>
      </c>
      <c r="D190" s="1040">
        <v>12</v>
      </c>
      <c r="E190" s="1010">
        <f t="shared" si="29"/>
        <v>6634159.0000000102</v>
      </c>
      <c r="F190" s="1010"/>
      <c r="G190" s="1010">
        <v>0</v>
      </c>
      <c r="H190" s="1035">
        <v>463532.72000000102</v>
      </c>
      <c r="I190" s="882"/>
      <c r="J190" s="1010">
        <f t="shared" si="21"/>
        <v>463532.72000000102</v>
      </c>
      <c r="K190" s="1010">
        <f t="shared" si="22"/>
        <v>6170626.2800000096</v>
      </c>
      <c r="L190" s="1010">
        <f t="shared" si="23"/>
        <v>900712.73040000198</v>
      </c>
      <c r="M190" s="431">
        <v>12</v>
      </c>
      <c r="N190" s="1053">
        <f t="shared" si="24"/>
        <v>75059.394200000097</v>
      </c>
      <c r="O190" s="753">
        <v>75059.394200000097</v>
      </c>
      <c r="P190" s="753">
        <f t="shared" si="25"/>
        <v>0</v>
      </c>
      <c r="Q190" s="754"/>
      <c r="R190" s="436"/>
      <c r="S190" s="436"/>
    </row>
    <row r="191" spans="1:19" ht="15.75">
      <c r="A191" s="421">
        <v>10</v>
      </c>
      <c r="B191" s="313" t="s">
        <v>319</v>
      </c>
      <c r="C191" s="1010">
        <v>542662.66666666698</v>
      </c>
      <c r="D191" s="1040">
        <v>12</v>
      </c>
      <c r="E191" s="1010">
        <f t="shared" si="29"/>
        <v>6511952</v>
      </c>
      <c r="F191" s="1010"/>
      <c r="G191" s="1010">
        <v>90863.600000000093</v>
      </c>
      <c r="H191" s="1035">
        <v>463356.15999999997</v>
      </c>
      <c r="I191" s="882"/>
      <c r="J191" s="1010">
        <f t="shared" si="21"/>
        <v>554219.76</v>
      </c>
      <c r="K191" s="1010">
        <f t="shared" si="22"/>
        <v>5957732.2400000002</v>
      </c>
      <c r="L191" s="1010">
        <f t="shared" si="23"/>
        <v>862391.80319999997</v>
      </c>
      <c r="M191" s="431">
        <v>12</v>
      </c>
      <c r="N191" s="1053">
        <f t="shared" si="24"/>
        <v>71865.983600000007</v>
      </c>
      <c r="O191" s="753">
        <v>71865.983600000007</v>
      </c>
      <c r="P191" s="753">
        <f t="shared" si="25"/>
        <v>0</v>
      </c>
      <c r="Q191" s="754"/>
      <c r="R191" s="436"/>
      <c r="S191" s="436"/>
    </row>
    <row r="192" spans="1:19" ht="15.75">
      <c r="A192" s="421">
        <v>11</v>
      </c>
      <c r="B192" s="597" t="s">
        <v>321</v>
      </c>
      <c r="C192" s="1010">
        <v>528828.16666666698</v>
      </c>
      <c r="D192" s="1040">
        <v>12</v>
      </c>
      <c r="E192" s="1010">
        <f t="shared" si="29"/>
        <v>6345938</v>
      </c>
      <c r="F192" s="1010"/>
      <c r="G192" s="1010">
        <v>88398.875000000102</v>
      </c>
      <c r="H192" s="1035">
        <v>450075.04</v>
      </c>
      <c r="I192" s="882"/>
      <c r="J192" s="1010">
        <f t="shared" si="21"/>
        <v>538473.91500000004</v>
      </c>
      <c r="K192" s="1010">
        <f t="shared" si="22"/>
        <v>5807464.085</v>
      </c>
      <c r="L192" s="1010">
        <f t="shared" si="23"/>
        <v>835343.53529999999</v>
      </c>
      <c r="M192" s="431">
        <v>12</v>
      </c>
      <c r="N192" s="1053">
        <f t="shared" si="24"/>
        <v>69611.961274999994</v>
      </c>
      <c r="O192" s="753">
        <v>69611.961274999994</v>
      </c>
      <c r="P192" s="753">
        <f t="shared" si="25"/>
        <v>0</v>
      </c>
      <c r="Q192" s="754"/>
      <c r="R192" s="436"/>
      <c r="S192" s="436"/>
    </row>
    <row r="193" spans="1:19" ht="15.75">
      <c r="A193" s="421">
        <v>12</v>
      </c>
      <c r="B193" s="597" t="s">
        <v>323</v>
      </c>
      <c r="C193" s="1010">
        <v>514993.58333333302</v>
      </c>
      <c r="D193" s="1040">
        <v>12</v>
      </c>
      <c r="E193" s="1010">
        <f t="shared" si="29"/>
        <v>6179923</v>
      </c>
      <c r="F193" s="1010"/>
      <c r="G193" s="1010">
        <v>0</v>
      </c>
      <c r="H193" s="1035">
        <v>436793.84</v>
      </c>
      <c r="I193" s="882"/>
      <c r="J193" s="1010">
        <f t="shared" si="21"/>
        <v>436793.84</v>
      </c>
      <c r="K193" s="1010">
        <f t="shared" si="22"/>
        <v>5743129.1600000001</v>
      </c>
      <c r="L193" s="1010">
        <f t="shared" si="23"/>
        <v>823763.24879999994</v>
      </c>
      <c r="M193" s="431">
        <v>12</v>
      </c>
      <c r="N193" s="1053">
        <f t="shared" si="24"/>
        <v>68646.937399999995</v>
      </c>
      <c r="O193" s="753">
        <v>68646.937399999995</v>
      </c>
      <c r="P193" s="753">
        <f t="shared" si="25"/>
        <v>0</v>
      </c>
      <c r="Q193" s="754"/>
      <c r="R193" s="436"/>
      <c r="S193" s="436"/>
    </row>
    <row r="194" spans="1:19" ht="15.75">
      <c r="A194" s="421">
        <v>13</v>
      </c>
      <c r="B194" s="597" t="s">
        <v>324</v>
      </c>
      <c r="C194" s="1010">
        <v>514993.58333333302</v>
      </c>
      <c r="D194" s="1040">
        <v>12</v>
      </c>
      <c r="E194" s="1010">
        <f t="shared" si="29"/>
        <v>6179923</v>
      </c>
      <c r="F194" s="1010"/>
      <c r="G194" s="1010">
        <v>85934.124999999898</v>
      </c>
      <c r="H194" s="1035">
        <v>436793.84</v>
      </c>
      <c r="I194" s="882"/>
      <c r="J194" s="1010">
        <f t="shared" si="21"/>
        <v>522727.96500000003</v>
      </c>
      <c r="K194" s="1010">
        <f t="shared" si="22"/>
        <v>5657195.0350000001</v>
      </c>
      <c r="L194" s="1010">
        <f t="shared" si="23"/>
        <v>808295.10629999998</v>
      </c>
      <c r="M194" s="431">
        <v>12</v>
      </c>
      <c r="N194" s="1053">
        <f t="shared" si="24"/>
        <v>67357.925524999999</v>
      </c>
      <c r="O194" s="753">
        <v>67357.925524999999</v>
      </c>
      <c r="P194" s="753">
        <f t="shared" si="25"/>
        <v>0</v>
      </c>
      <c r="Q194" s="754"/>
      <c r="R194" s="436"/>
      <c r="S194" s="436"/>
    </row>
    <row r="195" spans="1:19" ht="15.75">
      <c r="A195" s="421">
        <v>14</v>
      </c>
      <c r="B195" s="597" t="s">
        <v>325</v>
      </c>
      <c r="C195" s="1010">
        <v>514993.58333333302</v>
      </c>
      <c r="D195" s="1040">
        <v>12</v>
      </c>
      <c r="E195" s="1010">
        <f t="shared" si="29"/>
        <v>6179923</v>
      </c>
      <c r="F195" s="1010"/>
      <c r="G195" s="1010">
        <v>85934.124999999898</v>
      </c>
      <c r="H195" s="1035">
        <v>436793.84</v>
      </c>
      <c r="I195" s="882"/>
      <c r="J195" s="1010">
        <f t="shared" si="21"/>
        <v>522727.96500000003</v>
      </c>
      <c r="K195" s="1010">
        <f t="shared" si="22"/>
        <v>5657195.0350000001</v>
      </c>
      <c r="L195" s="1010">
        <f t="shared" si="23"/>
        <v>808295.10629999998</v>
      </c>
      <c r="M195" s="431">
        <v>12</v>
      </c>
      <c r="N195" s="1053">
        <f t="shared" si="24"/>
        <v>67357.925524999999</v>
      </c>
      <c r="O195" s="753">
        <v>67357.925524999999</v>
      </c>
      <c r="P195" s="753">
        <f t="shared" si="25"/>
        <v>0</v>
      </c>
      <c r="Q195" s="754"/>
      <c r="R195" s="436"/>
      <c r="S195" s="436"/>
    </row>
    <row r="196" spans="1:19" ht="15.75">
      <c r="A196" s="421">
        <v>15</v>
      </c>
      <c r="B196" s="597" t="s">
        <v>326</v>
      </c>
      <c r="C196" s="1010">
        <v>528828.16666666698</v>
      </c>
      <c r="D196" s="1040">
        <v>12</v>
      </c>
      <c r="E196" s="1010">
        <f t="shared" si="29"/>
        <v>6345938</v>
      </c>
      <c r="F196" s="1010"/>
      <c r="G196" s="1010">
        <v>0</v>
      </c>
      <c r="H196" s="1035">
        <v>450075.04</v>
      </c>
      <c r="I196" s="882"/>
      <c r="J196" s="1010">
        <f t="shared" si="21"/>
        <v>450075.04</v>
      </c>
      <c r="K196" s="1010">
        <f t="shared" si="22"/>
        <v>5895862.96</v>
      </c>
      <c r="L196" s="1010">
        <f t="shared" si="23"/>
        <v>851255.33279999997</v>
      </c>
      <c r="M196" s="431">
        <v>12</v>
      </c>
      <c r="N196" s="1053">
        <f t="shared" si="24"/>
        <v>70937.944399999993</v>
      </c>
      <c r="O196" s="753">
        <v>70937.944399999993</v>
      </c>
      <c r="P196" s="753">
        <f t="shared" si="25"/>
        <v>0</v>
      </c>
      <c r="Q196" s="754"/>
      <c r="R196" s="436"/>
      <c r="S196" s="436"/>
    </row>
    <row r="197" spans="1:19" ht="15.75">
      <c r="A197" s="421">
        <v>16</v>
      </c>
      <c r="B197" s="597" t="s">
        <v>327</v>
      </c>
      <c r="C197" s="1010">
        <v>459131.16666666698</v>
      </c>
      <c r="D197" s="1040">
        <v>12</v>
      </c>
      <c r="E197" s="1010">
        <f t="shared" si="29"/>
        <v>5509574</v>
      </c>
      <c r="F197" s="1010"/>
      <c r="G197" s="1010">
        <v>75440.375000000102</v>
      </c>
      <c r="H197" s="1035">
        <v>383165.92</v>
      </c>
      <c r="I197" s="882"/>
      <c r="J197" s="1010">
        <f t="shared" si="21"/>
        <v>458606.29499999998</v>
      </c>
      <c r="K197" s="1010">
        <f t="shared" si="22"/>
        <v>5050967.7050000001</v>
      </c>
      <c r="L197" s="1010">
        <f t="shared" si="23"/>
        <v>699174.18689999997</v>
      </c>
      <c r="M197" s="431">
        <v>12</v>
      </c>
      <c r="N197" s="1053">
        <f t="shared" si="24"/>
        <v>58264.515574999998</v>
      </c>
      <c r="O197" s="753">
        <v>58264.515574999998</v>
      </c>
      <c r="P197" s="753">
        <f t="shared" si="25"/>
        <v>0</v>
      </c>
      <c r="Q197" s="754"/>
      <c r="R197" s="436"/>
      <c r="S197" s="436"/>
    </row>
    <row r="198" spans="1:19" ht="31.5">
      <c r="A198" s="421">
        <v>17</v>
      </c>
      <c r="B198" s="597" t="s">
        <v>329</v>
      </c>
      <c r="C198" s="1010">
        <v>432145.33333333302</v>
      </c>
      <c r="D198" s="1040">
        <v>12</v>
      </c>
      <c r="E198" s="1010">
        <f t="shared" si="29"/>
        <v>5185744</v>
      </c>
      <c r="F198" s="1010"/>
      <c r="G198" s="1010">
        <v>70673.350000000006</v>
      </c>
      <c r="H198" s="1035">
        <v>357259.52000000002</v>
      </c>
      <c r="I198" s="882"/>
      <c r="J198" s="1010">
        <f t="shared" si="21"/>
        <v>427932.87</v>
      </c>
      <c r="K198" s="1010">
        <f t="shared" si="22"/>
        <v>4757811.13</v>
      </c>
      <c r="L198" s="1010">
        <f t="shared" si="23"/>
        <v>646406.00340000005</v>
      </c>
      <c r="M198" s="431">
        <v>12</v>
      </c>
      <c r="N198" s="1053">
        <f t="shared" si="24"/>
        <v>53867.166949999999</v>
      </c>
      <c r="O198" s="753">
        <v>53867.166949999999</v>
      </c>
      <c r="P198" s="753">
        <f t="shared" si="25"/>
        <v>0</v>
      </c>
      <c r="Q198" s="754"/>
      <c r="R198" s="436"/>
      <c r="S198" s="436"/>
    </row>
    <row r="199" spans="1:19" ht="15.75">
      <c r="A199" s="421">
        <v>18</v>
      </c>
      <c r="B199" s="597" t="s">
        <v>331</v>
      </c>
      <c r="C199" s="1010">
        <v>514993.58333333302</v>
      </c>
      <c r="D199" s="1040">
        <v>12</v>
      </c>
      <c r="E199" s="1010">
        <f t="shared" si="29"/>
        <v>6179923</v>
      </c>
      <c r="F199" s="1010"/>
      <c r="G199" s="1010">
        <v>0</v>
      </c>
      <c r="H199" s="1035">
        <v>436793.84</v>
      </c>
      <c r="I199" s="882"/>
      <c r="J199" s="1010">
        <f t="shared" ref="J199:J248" si="31">F199+G199+H199</f>
        <v>436793.84</v>
      </c>
      <c r="K199" s="1010">
        <f t="shared" ref="K199:K248" si="32">E199-J199</f>
        <v>5743129.1600000001</v>
      </c>
      <c r="L199" s="1010">
        <f t="shared" ref="L199:L248" si="33">IF(K199&lt;=800000,0,IF(K199&lt;=3000000,(K199-800000)*15%,IF(K199&lt;=12000000,330000+(K199-3000000)*18%,IF(K199&lt;=25000000,1950000+(K199-12000000)*21%,IF(K199&lt;=50000000,4680000+(K199-25000000)*23%,10430000+(K199-50000000)*25%)))))</f>
        <v>823763.24879999901</v>
      </c>
      <c r="M199" s="431">
        <v>12</v>
      </c>
      <c r="N199" s="1053">
        <f t="shared" ref="N199:N248" si="34">L199/M199</f>
        <v>68646.937399999995</v>
      </c>
      <c r="O199" s="753">
        <v>68646.937399999995</v>
      </c>
      <c r="P199" s="753">
        <f t="shared" ref="P199:P248" si="35">N199-O199</f>
        <v>0</v>
      </c>
      <c r="Q199" s="754"/>
      <c r="R199" s="436"/>
      <c r="S199" s="436"/>
    </row>
    <row r="200" spans="1:19" ht="15.75">
      <c r="A200" s="421">
        <v>19</v>
      </c>
      <c r="B200" s="597" t="s">
        <v>333</v>
      </c>
      <c r="C200" s="1010">
        <v>441140.66666666599</v>
      </c>
      <c r="D200" s="1040">
        <v>12</v>
      </c>
      <c r="E200" s="1010">
        <f t="shared" si="29"/>
        <v>5293687.9999999898</v>
      </c>
      <c r="F200" s="1010"/>
      <c r="G200" s="1010">
        <v>72262.374999999898</v>
      </c>
      <c r="H200" s="1035">
        <v>365895.03999999899</v>
      </c>
      <c r="I200" s="882"/>
      <c r="J200" s="1010">
        <f t="shared" si="31"/>
        <v>438157.41499999899</v>
      </c>
      <c r="K200" s="1010">
        <f t="shared" si="32"/>
        <v>4855530.5849999897</v>
      </c>
      <c r="L200" s="1010">
        <f t="shared" si="33"/>
        <v>663995.50529999903</v>
      </c>
      <c r="M200" s="431">
        <v>12</v>
      </c>
      <c r="N200" s="1053">
        <f t="shared" si="34"/>
        <v>55332.958774999897</v>
      </c>
      <c r="O200" s="753">
        <v>55332.958774999897</v>
      </c>
      <c r="P200" s="753">
        <f t="shared" si="35"/>
        <v>0</v>
      </c>
      <c r="Q200" s="754"/>
      <c r="R200" s="436"/>
      <c r="S200" s="436"/>
    </row>
    <row r="201" spans="1:19" ht="15.75">
      <c r="A201" s="421">
        <v>20</v>
      </c>
      <c r="B201" s="313" t="s">
        <v>335</v>
      </c>
      <c r="C201" s="1010">
        <v>564993.58333333302</v>
      </c>
      <c r="D201" s="1040">
        <v>12</v>
      </c>
      <c r="E201" s="1010">
        <f t="shared" si="29"/>
        <v>6779923</v>
      </c>
      <c r="F201" s="1010"/>
      <c r="G201" s="1010">
        <v>85934.124999999898</v>
      </c>
      <c r="H201" s="1035">
        <v>436793.84</v>
      </c>
      <c r="I201" s="882"/>
      <c r="J201" s="1010">
        <f t="shared" si="31"/>
        <v>522727.96500000003</v>
      </c>
      <c r="K201" s="1010">
        <f t="shared" si="32"/>
        <v>6257195.0350000001</v>
      </c>
      <c r="L201" s="1010">
        <f t="shared" si="33"/>
        <v>916295.10629999905</v>
      </c>
      <c r="M201" s="431">
        <v>12</v>
      </c>
      <c r="N201" s="1053">
        <f t="shared" si="34"/>
        <v>76357.925524999897</v>
      </c>
      <c r="O201" s="753">
        <v>76357.925524999897</v>
      </c>
      <c r="P201" s="753">
        <f t="shared" si="35"/>
        <v>0</v>
      </c>
      <c r="Q201" s="754"/>
      <c r="R201" s="436"/>
      <c r="S201" s="436"/>
    </row>
    <row r="202" spans="1:19" ht="15.75">
      <c r="A202" s="421">
        <v>21</v>
      </c>
      <c r="B202" s="313" t="s">
        <v>336</v>
      </c>
      <c r="C202" s="1010">
        <v>432145.33333333302</v>
      </c>
      <c r="D202" s="1040">
        <v>12</v>
      </c>
      <c r="E202" s="1010">
        <f t="shared" si="29"/>
        <v>5185744</v>
      </c>
      <c r="F202" s="1010"/>
      <c r="G202" s="1010">
        <v>0</v>
      </c>
      <c r="H202" s="1035">
        <v>357259.52000000002</v>
      </c>
      <c r="I202" s="882"/>
      <c r="J202" s="1010">
        <f t="shared" si="31"/>
        <v>357259.52000000002</v>
      </c>
      <c r="K202" s="1010">
        <f t="shared" si="32"/>
        <v>4828484.4800000004</v>
      </c>
      <c r="L202" s="1010">
        <f t="shared" si="33"/>
        <v>659127.20639999898</v>
      </c>
      <c r="M202" s="431">
        <v>12</v>
      </c>
      <c r="N202" s="1053">
        <f t="shared" si="34"/>
        <v>54927.2671999999</v>
      </c>
      <c r="O202" s="753">
        <v>54927.2671999999</v>
      </c>
      <c r="P202" s="753">
        <f t="shared" si="35"/>
        <v>0</v>
      </c>
      <c r="Q202" s="754"/>
      <c r="R202" s="436"/>
      <c r="S202" s="436"/>
    </row>
    <row r="203" spans="1:19" ht="15.75">
      <c r="A203" s="421">
        <v>22</v>
      </c>
      <c r="B203" s="313" t="s">
        <v>338</v>
      </c>
      <c r="C203" s="1010">
        <v>398711.66666666698</v>
      </c>
      <c r="D203" s="1040">
        <v>12</v>
      </c>
      <c r="E203" s="1010">
        <f t="shared" si="29"/>
        <v>4784540</v>
      </c>
      <c r="F203" s="1010"/>
      <c r="G203" s="1010">
        <v>66802.374999999898</v>
      </c>
      <c r="H203" s="1035">
        <v>325163.2</v>
      </c>
      <c r="I203" s="882"/>
      <c r="J203" s="1010">
        <f t="shared" si="31"/>
        <v>391965.57500000001</v>
      </c>
      <c r="K203" s="1010">
        <f t="shared" si="32"/>
        <v>4392574.4249999998</v>
      </c>
      <c r="L203" s="1010">
        <f t="shared" si="33"/>
        <v>580663.39650000096</v>
      </c>
      <c r="M203" s="431">
        <v>12</v>
      </c>
      <c r="N203" s="1053">
        <f t="shared" si="34"/>
        <v>48388.616374999998</v>
      </c>
      <c r="O203" s="753">
        <v>48388.616374999998</v>
      </c>
      <c r="P203" s="753">
        <f t="shared" si="35"/>
        <v>0</v>
      </c>
      <c r="Q203" s="754"/>
      <c r="R203" s="436"/>
      <c r="S203" s="436"/>
    </row>
    <row r="204" spans="1:19" ht="15.75">
      <c r="A204" s="421">
        <v>23</v>
      </c>
      <c r="B204" s="313" t="s">
        <v>340</v>
      </c>
      <c r="C204" s="1010">
        <v>407016.16666666599</v>
      </c>
      <c r="D204" s="1040">
        <v>12</v>
      </c>
      <c r="E204" s="1010">
        <f t="shared" si="29"/>
        <v>4884193.9999999898</v>
      </c>
      <c r="F204" s="1010"/>
      <c r="G204" s="1010">
        <v>0</v>
      </c>
      <c r="H204" s="1035">
        <v>333135.51999999903</v>
      </c>
      <c r="I204" s="882"/>
      <c r="J204" s="1010">
        <f t="shared" si="31"/>
        <v>333135.51999999903</v>
      </c>
      <c r="K204" s="1010">
        <f t="shared" si="32"/>
        <v>4551058.4799999902</v>
      </c>
      <c r="L204" s="1010">
        <f t="shared" si="33"/>
        <v>609190.52639999904</v>
      </c>
      <c r="M204" s="431">
        <v>12</v>
      </c>
      <c r="N204" s="1053">
        <f t="shared" si="34"/>
        <v>50765.877199999901</v>
      </c>
      <c r="O204" s="753">
        <v>50765.877199999901</v>
      </c>
      <c r="P204" s="753">
        <f t="shared" si="35"/>
        <v>0</v>
      </c>
      <c r="Q204" s="754"/>
      <c r="R204" s="436"/>
      <c r="S204" s="436"/>
    </row>
    <row r="205" spans="1:19" ht="15.75">
      <c r="A205" s="421">
        <v>24</v>
      </c>
      <c r="B205" s="313" t="s">
        <v>341</v>
      </c>
      <c r="C205" s="1010">
        <v>398711.66666666698</v>
      </c>
      <c r="D205" s="1040">
        <v>12</v>
      </c>
      <c r="E205" s="1010">
        <f t="shared" si="29"/>
        <v>4784540</v>
      </c>
      <c r="F205" s="1010"/>
      <c r="G205" s="1010">
        <v>0</v>
      </c>
      <c r="H205" s="1035">
        <v>325163.2</v>
      </c>
      <c r="I205" s="882"/>
      <c r="J205" s="1010">
        <f t="shared" si="31"/>
        <v>325163.2</v>
      </c>
      <c r="K205" s="1010">
        <f t="shared" si="32"/>
        <v>4459376.8</v>
      </c>
      <c r="L205" s="1010">
        <f t="shared" si="33"/>
        <v>592687.82400000095</v>
      </c>
      <c r="M205" s="431">
        <v>12</v>
      </c>
      <c r="N205" s="1053">
        <f t="shared" si="34"/>
        <v>49390.652000000096</v>
      </c>
      <c r="O205" s="753">
        <v>49390.652000000096</v>
      </c>
      <c r="P205" s="753">
        <f t="shared" si="35"/>
        <v>0</v>
      </c>
      <c r="Q205" s="754"/>
      <c r="R205" s="436"/>
      <c r="S205" s="436"/>
    </row>
    <row r="206" spans="1:19" ht="31.5">
      <c r="A206" s="421">
        <v>25</v>
      </c>
      <c r="B206" s="313" t="s">
        <v>343</v>
      </c>
      <c r="C206" s="1010">
        <v>390408.08333333302</v>
      </c>
      <c r="D206" s="1040">
        <v>12</v>
      </c>
      <c r="E206" s="1010">
        <f t="shared" si="29"/>
        <v>4684897</v>
      </c>
      <c r="F206" s="1010"/>
      <c r="G206" s="1010">
        <v>0</v>
      </c>
      <c r="H206" s="1035">
        <v>317190.8</v>
      </c>
      <c r="I206" s="882"/>
      <c r="J206" s="1010">
        <f t="shared" si="31"/>
        <v>317190.8</v>
      </c>
      <c r="K206" s="1010">
        <f t="shared" si="32"/>
        <v>4367706.2</v>
      </c>
      <c r="L206" s="1010">
        <f t="shared" si="33"/>
        <v>576187.11599999899</v>
      </c>
      <c r="M206" s="431">
        <v>12</v>
      </c>
      <c r="N206" s="1053">
        <f t="shared" si="34"/>
        <v>48015.592999999899</v>
      </c>
      <c r="O206" s="753">
        <v>48015.592999999899</v>
      </c>
      <c r="P206" s="753">
        <f t="shared" si="35"/>
        <v>0</v>
      </c>
      <c r="Q206" s="754"/>
      <c r="R206" s="436"/>
      <c r="S206" s="436"/>
    </row>
    <row r="207" spans="1:19" ht="15.75">
      <c r="A207" s="421">
        <v>26</v>
      </c>
      <c r="B207" s="313" t="s">
        <v>345</v>
      </c>
      <c r="C207" s="1010">
        <v>358920.66666666698</v>
      </c>
      <c r="D207" s="1040">
        <v>12</v>
      </c>
      <c r="E207" s="1010">
        <f t="shared" si="29"/>
        <v>4307048</v>
      </c>
      <c r="F207" s="1010"/>
      <c r="G207" s="1010">
        <v>60164.825000000099</v>
      </c>
      <c r="H207" s="1035">
        <v>296563.84000000003</v>
      </c>
      <c r="I207" s="882"/>
      <c r="J207" s="1010">
        <f t="shared" si="31"/>
        <v>356728.66499999998</v>
      </c>
      <c r="K207" s="1010">
        <f t="shared" si="32"/>
        <v>3950319.335</v>
      </c>
      <c r="L207" s="1010">
        <f t="shared" si="33"/>
        <v>501057.48030000099</v>
      </c>
      <c r="M207" s="431">
        <v>12</v>
      </c>
      <c r="N207" s="1053">
        <f t="shared" si="34"/>
        <v>41754.790025000097</v>
      </c>
      <c r="O207" s="753">
        <v>41754.790025000097</v>
      </c>
      <c r="P207" s="753">
        <f t="shared" si="35"/>
        <v>0</v>
      </c>
      <c r="Q207" s="754"/>
      <c r="R207" s="436"/>
      <c r="S207" s="436"/>
    </row>
    <row r="208" spans="1:19" ht="15.75">
      <c r="A208" s="421">
        <v>27</v>
      </c>
      <c r="B208" s="313" t="s">
        <v>347</v>
      </c>
      <c r="C208" s="1010">
        <v>358920.66666666698</v>
      </c>
      <c r="D208" s="1040">
        <v>12</v>
      </c>
      <c r="E208" s="1010">
        <f t="shared" si="29"/>
        <v>4307048</v>
      </c>
      <c r="F208" s="1010"/>
      <c r="G208" s="1010">
        <v>60164.825000000099</v>
      </c>
      <c r="H208" s="1035">
        <v>296563.84000000003</v>
      </c>
      <c r="I208" s="882"/>
      <c r="J208" s="1010">
        <f t="shared" si="31"/>
        <v>356728.66499999998</v>
      </c>
      <c r="K208" s="1010">
        <f t="shared" si="32"/>
        <v>3950319.335</v>
      </c>
      <c r="L208" s="1010">
        <f t="shared" si="33"/>
        <v>501057.48030000099</v>
      </c>
      <c r="M208" s="431">
        <v>12</v>
      </c>
      <c r="N208" s="1053">
        <f t="shared" si="34"/>
        <v>41754.790025000097</v>
      </c>
      <c r="O208" s="753">
        <v>41754.790025000097</v>
      </c>
      <c r="P208" s="753">
        <f t="shared" si="35"/>
        <v>0</v>
      </c>
      <c r="Q208" s="754"/>
      <c r="R208" s="436"/>
      <c r="S208" s="436"/>
    </row>
    <row r="209" spans="1:19" ht="31.5">
      <c r="A209" s="421">
        <v>28</v>
      </c>
      <c r="B209" s="313" t="s">
        <v>349</v>
      </c>
      <c r="C209" s="1010">
        <v>358920.66666666698</v>
      </c>
      <c r="D209" s="1040">
        <v>12</v>
      </c>
      <c r="E209" s="1010">
        <f t="shared" si="29"/>
        <v>4307048</v>
      </c>
      <c r="F209" s="1010"/>
      <c r="G209" s="1010">
        <v>60164.825000000099</v>
      </c>
      <c r="H209" s="1035">
        <v>296563.84000000003</v>
      </c>
      <c r="I209" s="882"/>
      <c r="J209" s="1010">
        <f t="shared" si="31"/>
        <v>356728.66499999998</v>
      </c>
      <c r="K209" s="1010">
        <f t="shared" si="32"/>
        <v>3950319.335</v>
      </c>
      <c r="L209" s="1010">
        <f t="shared" si="33"/>
        <v>501057.48030000099</v>
      </c>
      <c r="M209" s="431">
        <v>12</v>
      </c>
      <c r="N209" s="1053">
        <f t="shared" si="34"/>
        <v>41754.790025000097</v>
      </c>
      <c r="O209" s="753">
        <v>41754.790025000097</v>
      </c>
      <c r="P209" s="753">
        <f t="shared" si="35"/>
        <v>0</v>
      </c>
      <c r="Q209" s="754"/>
      <c r="R209" s="436"/>
      <c r="S209" s="436"/>
    </row>
    <row r="210" spans="1:19" ht="15.75">
      <c r="A210" s="421">
        <v>29</v>
      </c>
      <c r="B210" s="597" t="s">
        <v>351</v>
      </c>
      <c r="C210" s="1010">
        <v>390408.08333333302</v>
      </c>
      <c r="D210" s="1040">
        <v>12</v>
      </c>
      <c r="E210" s="1010">
        <f t="shared" si="29"/>
        <v>4684897</v>
      </c>
      <c r="F210" s="1010"/>
      <c r="G210" s="1010">
        <v>63837.65</v>
      </c>
      <c r="H210" s="1035">
        <v>317191.76</v>
      </c>
      <c r="I210" s="882"/>
      <c r="J210" s="1010">
        <f t="shared" si="31"/>
        <v>381029.41</v>
      </c>
      <c r="K210" s="1010">
        <f t="shared" si="32"/>
        <v>4303867.59</v>
      </c>
      <c r="L210" s="1010">
        <f t="shared" si="33"/>
        <v>564696.16619999905</v>
      </c>
      <c r="M210" s="431">
        <v>12</v>
      </c>
      <c r="N210" s="1053">
        <f t="shared" si="34"/>
        <v>47058.013849999901</v>
      </c>
      <c r="O210" s="753">
        <v>47058.013849999901</v>
      </c>
      <c r="P210" s="753">
        <f t="shared" si="35"/>
        <v>0</v>
      </c>
      <c r="Q210" s="754"/>
      <c r="R210" s="436"/>
      <c r="S210" s="436"/>
    </row>
    <row r="211" spans="1:19" ht="15.75">
      <c r="A211" s="421">
        <v>30</v>
      </c>
      <c r="B211" s="597" t="s">
        <v>352</v>
      </c>
      <c r="C211" s="1010">
        <v>358920.66666666698</v>
      </c>
      <c r="D211" s="1040">
        <v>12</v>
      </c>
      <c r="E211" s="1010">
        <f t="shared" si="29"/>
        <v>4307048</v>
      </c>
      <c r="F211" s="1010"/>
      <c r="G211" s="1010">
        <v>60164.825000000099</v>
      </c>
      <c r="H211" s="1035">
        <v>296563.84000000003</v>
      </c>
      <c r="I211" s="882"/>
      <c r="J211" s="1010">
        <f t="shared" si="31"/>
        <v>356728.66499999998</v>
      </c>
      <c r="K211" s="1010">
        <f t="shared" si="32"/>
        <v>3950319.335</v>
      </c>
      <c r="L211" s="1010">
        <f t="shared" si="33"/>
        <v>501057.48030000099</v>
      </c>
      <c r="M211" s="431">
        <v>12</v>
      </c>
      <c r="N211" s="1053">
        <f t="shared" si="34"/>
        <v>41754.790025000097</v>
      </c>
      <c r="O211" s="753">
        <v>41754.790025000097</v>
      </c>
      <c r="P211" s="753">
        <f t="shared" si="35"/>
        <v>0</v>
      </c>
      <c r="Q211" s="754"/>
      <c r="R211" s="436"/>
      <c r="S211" s="436"/>
    </row>
    <row r="212" spans="1:19" ht="15.75" customHeight="1">
      <c r="A212" s="421">
        <v>31</v>
      </c>
      <c r="B212" s="597" t="s">
        <v>353</v>
      </c>
      <c r="C212" s="1010">
        <v>351910.75</v>
      </c>
      <c r="D212" s="1040">
        <v>12</v>
      </c>
      <c r="E212" s="1010">
        <f t="shared" si="29"/>
        <v>4222929</v>
      </c>
      <c r="F212" s="1010"/>
      <c r="G212" s="1010">
        <v>0</v>
      </c>
      <c r="H212" s="1035">
        <v>289834.32</v>
      </c>
      <c r="I212" s="882"/>
      <c r="J212" s="1010">
        <f t="shared" si="31"/>
        <v>289834.32</v>
      </c>
      <c r="K212" s="1010">
        <f t="shared" si="32"/>
        <v>3933094.68</v>
      </c>
      <c r="L212" s="1010">
        <f t="shared" si="33"/>
        <v>497957.04239999998</v>
      </c>
      <c r="M212" s="431">
        <v>12</v>
      </c>
      <c r="N212" s="1053">
        <f t="shared" si="34"/>
        <v>41496.4202</v>
      </c>
      <c r="O212" s="753">
        <v>41496.4202</v>
      </c>
      <c r="P212" s="753">
        <f t="shared" si="35"/>
        <v>0</v>
      </c>
      <c r="Q212" s="754"/>
      <c r="R212" s="436"/>
      <c r="S212" s="436"/>
    </row>
    <row r="213" spans="1:19" ht="15.75">
      <c r="A213" s="421">
        <v>32</v>
      </c>
      <c r="B213" s="597" t="s">
        <v>355</v>
      </c>
      <c r="C213" s="1010">
        <v>351910.75</v>
      </c>
      <c r="D213" s="1040">
        <v>12</v>
      </c>
      <c r="E213" s="1010">
        <f t="shared" si="29"/>
        <v>4222929</v>
      </c>
      <c r="F213" s="1010"/>
      <c r="G213" s="1010">
        <v>0</v>
      </c>
      <c r="H213" s="1035">
        <v>289834.32</v>
      </c>
      <c r="I213" s="882"/>
      <c r="J213" s="1010">
        <f t="shared" si="31"/>
        <v>289834.32</v>
      </c>
      <c r="K213" s="1010">
        <f t="shared" si="32"/>
        <v>3933094.68</v>
      </c>
      <c r="L213" s="1010">
        <f t="shared" si="33"/>
        <v>497957.04239999998</v>
      </c>
      <c r="M213" s="431">
        <v>12</v>
      </c>
      <c r="N213" s="1053">
        <f t="shared" si="34"/>
        <v>41496.4202</v>
      </c>
      <c r="O213" s="753">
        <v>41496.4202</v>
      </c>
      <c r="P213" s="753">
        <f t="shared" si="35"/>
        <v>0</v>
      </c>
      <c r="Q213" s="754"/>
      <c r="R213" s="436"/>
      <c r="S213" s="436"/>
    </row>
    <row r="214" spans="1:19" ht="15.75">
      <c r="A214" s="421">
        <v>33</v>
      </c>
      <c r="B214" s="597" t="s">
        <v>485</v>
      </c>
      <c r="C214" s="1010"/>
      <c r="D214" s="1040">
        <v>12</v>
      </c>
      <c r="E214" s="1010">
        <f t="shared" si="29"/>
        <v>0</v>
      </c>
      <c r="F214" s="1010"/>
      <c r="G214" s="1010">
        <v>0</v>
      </c>
      <c r="H214" s="1035">
        <v>283104.80000000098</v>
      </c>
      <c r="I214" s="882"/>
      <c r="J214" s="1010">
        <f t="shared" si="31"/>
        <v>283104.80000000098</v>
      </c>
      <c r="K214" s="1010">
        <f t="shared" si="32"/>
        <v>-283104.80000000098</v>
      </c>
      <c r="L214" s="1010">
        <f t="shared" si="33"/>
        <v>0</v>
      </c>
      <c r="M214" s="431">
        <v>12</v>
      </c>
      <c r="N214" s="1053">
        <f t="shared" si="34"/>
        <v>0</v>
      </c>
      <c r="O214" s="753">
        <v>0</v>
      </c>
      <c r="P214" s="753">
        <f t="shared" si="35"/>
        <v>0</v>
      </c>
      <c r="Q214" s="754"/>
      <c r="R214" s="436"/>
      <c r="S214" s="436"/>
    </row>
    <row r="215" spans="1:19" ht="15.75">
      <c r="A215" s="421">
        <v>34</v>
      </c>
      <c r="B215" s="597" t="s">
        <v>356</v>
      </c>
      <c r="C215" s="1010">
        <v>344900.83333333401</v>
      </c>
      <c r="D215" s="1040">
        <v>12</v>
      </c>
      <c r="E215" s="1010">
        <f t="shared" si="29"/>
        <v>4138810.0000000098</v>
      </c>
      <c r="F215" s="1010"/>
      <c r="G215" s="1010">
        <v>0</v>
      </c>
      <c r="H215" s="1035">
        <v>283104.80000000098</v>
      </c>
      <c r="I215" s="882"/>
      <c r="J215" s="1010">
        <f t="shared" si="31"/>
        <v>283104.80000000098</v>
      </c>
      <c r="K215" s="1010">
        <f t="shared" si="32"/>
        <v>3855705.20000001</v>
      </c>
      <c r="L215" s="1010">
        <f t="shared" si="33"/>
        <v>484026.93600000098</v>
      </c>
      <c r="M215" s="431">
        <v>12</v>
      </c>
      <c r="N215" s="1053">
        <f t="shared" si="34"/>
        <v>40335.578000000103</v>
      </c>
      <c r="O215" s="753">
        <v>40335.578000000103</v>
      </c>
      <c r="P215" s="753">
        <f t="shared" si="35"/>
        <v>0</v>
      </c>
      <c r="Q215" s="754"/>
      <c r="R215" s="436"/>
      <c r="S215" s="436"/>
    </row>
    <row r="216" spans="1:19" ht="15.75">
      <c r="A216" s="421">
        <v>35</v>
      </c>
      <c r="B216" s="597" t="s">
        <v>357</v>
      </c>
      <c r="C216" s="1010">
        <v>344900.83333333401</v>
      </c>
      <c r="D216" s="1040">
        <v>12</v>
      </c>
      <c r="E216" s="1010">
        <f t="shared" si="29"/>
        <v>4138810.0000000098</v>
      </c>
      <c r="F216" s="1010"/>
      <c r="G216" s="1010">
        <v>0</v>
      </c>
      <c r="H216" s="1035">
        <v>283104.80000000098</v>
      </c>
      <c r="I216" s="882"/>
      <c r="J216" s="1010">
        <f t="shared" si="31"/>
        <v>283104.80000000098</v>
      </c>
      <c r="K216" s="1010">
        <f t="shared" si="32"/>
        <v>3855705.20000001</v>
      </c>
      <c r="L216" s="1010">
        <f t="shared" si="33"/>
        <v>484026.93600000098</v>
      </c>
      <c r="M216" s="431">
        <v>12</v>
      </c>
      <c r="N216" s="1053">
        <f t="shared" si="34"/>
        <v>40335.578000000103</v>
      </c>
      <c r="O216" s="753">
        <v>40335.578000000103</v>
      </c>
      <c r="P216" s="753">
        <f t="shared" si="35"/>
        <v>0</v>
      </c>
      <c r="Q216" s="754"/>
      <c r="R216" s="436"/>
      <c r="S216" s="436"/>
    </row>
    <row r="217" spans="1:19" ht="15.75">
      <c r="A217" s="421">
        <v>36</v>
      </c>
      <c r="B217" s="593" t="s">
        <v>358</v>
      </c>
      <c r="C217" s="1010">
        <v>344900.83333333401</v>
      </c>
      <c r="D217" s="1040">
        <v>12</v>
      </c>
      <c r="E217" s="1010">
        <f t="shared" si="29"/>
        <v>4138810.0000000098</v>
      </c>
      <c r="F217" s="1010"/>
      <c r="G217" s="1010">
        <v>0</v>
      </c>
      <c r="H217" s="1035">
        <v>283104.80000000098</v>
      </c>
      <c r="I217" s="882"/>
      <c r="J217" s="1010">
        <f t="shared" si="31"/>
        <v>283104.80000000098</v>
      </c>
      <c r="K217" s="1010">
        <f t="shared" si="32"/>
        <v>3855705.20000001</v>
      </c>
      <c r="L217" s="1010">
        <f t="shared" si="33"/>
        <v>484026.93600000098</v>
      </c>
      <c r="M217" s="431">
        <v>12</v>
      </c>
      <c r="N217" s="1053">
        <f t="shared" si="34"/>
        <v>40335.578000000103</v>
      </c>
      <c r="O217" s="753">
        <v>40335.578000000103</v>
      </c>
      <c r="P217" s="753">
        <f t="shared" si="35"/>
        <v>0</v>
      </c>
      <c r="Q217" s="754"/>
      <c r="R217" s="436"/>
      <c r="S217" s="436"/>
    </row>
    <row r="218" spans="1:19" ht="15.75">
      <c r="A218" s="421">
        <v>37</v>
      </c>
      <c r="B218" s="597" t="s">
        <v>359</v>
      </c>
      <c r="C218" s="1010">
        <v>337890.91666666698</v>
      </c>
      <c r="D218" s="1040">
        <v>12</v>
      </c>
      <c r="E218" s="1010">
        <f t="shared" si="29"/>
        <v>4054691</v>
      </c>
      <c r="F218" s="1010"/>
      <c r="G218" s="1010">
        <v>0</v>
      </c>
      <c r="H218" s="1035">
        <v>276375.28000000003</v>
      </c>
      <c r="I218" s="882"/>
      <c r="J218" s="1010">
        <f t="shared" si="31"/>
        <v>276375.28000000003</v>
      </c>
      <c r="K218" s="1010">
        <f t="shared" si="32"/>
        <v>3778315.72</v>
      </c>
      <c r="L218" s="1010">
        <f t="shared" si="33"/>
        <v>470096.82960000099</v>
      </c>
      <c r="M218" s="431">
        <v>12</v>
      </c>
      <c r="N218" s="1053">
        <f t="shared" si="34"/>
        <v>39174.735800000097</v>
      </c>
      <c r="O218" s="753">
        <v>39174.735800000097</v>
      </c>
      <c r="P218" s="753">
        <f t="shared" si="35"/>
        <v>0</v>
      </c>
      <c r="Q218" s="754"/>
      <c r="R218" s="436"/>
      <c r="S218" s="436"/>
    </row>
    <row r="219" spans="1:19" ht="15.75">
      <c r="A219" s="421">
        <v>38</v>
      </c>
      <c r="B219" s="313" t="s">
        <v>360</v>
      </c>
      <c r="C219" s="1010">
        <v>337890.91666666698</v>
      </c>
      <c r="D219" s="1040">
        <v>12</v>
      </c>
      <c r="E219" s="1010">
        <f t="shared" si="29"/>
        <v>4054691</v>
      </c>
      <c r="F219" s="1010"/>
      <c r="G219" s="1010">
        <v>0</v>
      </c>
      <c r="H219" s="1035">
        <v>276375.28000000003</v>
      </c>
      <c r="I219" s="882"/>
      <c r="J219" s="1010">
        <f t="shared" si="31"/>
        <v>276375.28000000003</v>
      </c>
      <c r="K219" s="1010">
        <f t="shared" si="32"/>
        <v>3778315.72</v>
      </c>
      <c r="L219" s="1010">
        <f t="shared" si="33"/>
        <v>470096.82960000099</v>
      </c>
      <c r="M219" s="431">
        <v>12</v>
      </c>
      <c r="N219" s="1053">
        <f t="shared" si="34"/>
        <v>39174.735800000097</v>
      </c>
      <c r="O219" s="753">
        <v>39174.735800000097</v>
      </c>
      <c r="P219" s="753">
        <f t="shared" si="35"/>
        <v>0</v>
      </c>
      <c r="Q219" s="754"/>
      <c r="R219" s="436"/>
      <c r="S219" s="436"/>
    </row>
    <row r="220" spans="1:19" ht="15.75">
      <c r="A220" s="421">
        <v>39</v>
      </c>
      <c r="B220" s="313" t="s">
        <v>361</v>
      </c>
      <c r="C220" s="1010">
        <v>289667.08333333302</v>
      </c>
      <c r="D220" s="1040">
        <v>12</v>
      </c>
      <c r="E220" s="1010">
        <f t="shared" si="29"/>
        <v>3476005</v>
      </c>
      <c r="F220" s="1010"/>
      <c r="G220" s="1010">
        <v>51035.474999999999</v>
      </c>
      <c r="H220" s="1035">
        <v>245440.4</v>
      </c>
      <c r="I220" s="882"/>
      <c r="J220" s="1010">
        <f t="shared" si="31"/>
        <v>296475.875</v>
      </c>
      <c r="K220" s="1010">
        <f t="shared" si="32"/>
        <v>3179529.125</v>
      </c>
      <c r="L220" s="1010">
        <f t="shared" si="33"/>
        <v>362315.242499999</v>
      </c>
      <c r="M220" s="431">
        <v>12</v>
      </c>
      <c r="N220" s="1053">
        <f t="shared" si="34"/>
        <v>30192.936874999901</v>
      </c>
      <c r="O220" s="753">
        <v>30192.936874999901</v>
      </c>
      <c r="P220" s="753">
        <f t="shared" si="35"/>
        <v>0</v>
      </c>
      <c r="Q220" s="754"/>
      <c r="R220" s="436"/>
      <c r="S220" s="436"/>
    </row>
    <row r="221" spans="1:19" ht="15.75">
      <c r="A221" s="421">
        <v>40</v>
      </c>
      <c r="B221" s="597" t="s">
        <v>364</v>
      </c>
      <c r="C221" s="1010">
        <v>292667.08333333302</v>
      </c>
      <c r="D221" s="1040">
        <v>12</v>
      </c>
      <c r="E221" s="1010">
        <f t="shared" si="29"/>
        <v>3512005</v>
      </c>
      <c r="F221" s="1010"/>
      <c r="G221" s="1010">
        <v>0</v>
      </c>
      <c r="H221" s="1035">
        <v>245440.4</v>
      </c>
      <c r="I221" s="882"/>
      <c r="J221" s="1010">
        <f t="shared" si="31"/>
        <v>245440.4</v>
      </c>
      <c r="K221" s="1010">
        <f t="shared" si="32"/>
        <v>3266564.6</v>
      </c>
      <c r="L221" s="1010">
        <f t="shared" si="33"/>
        <v>377981.62799999898</v>
      </c>
      <c r="M221" s="431">
        <v>12</v>
      </c>
      <c r="N221" s="1053">
        <f t="shared" si="34"/>
        <v>31498.468999999899</v>
      </c>
      <c r="O221" s="753">
        <v>31498.468999999899</v>
      </c>
      <c r="P221" s="753">
        <f t="shared" si="35"/>
        <v>0</v>
      </c>
      <c r="Q221" s="754"/>
      <c r="R221" s="436"/>
      <c r="S221" s="436"/>
    </row>
    <row r="222" spans="1:19" ht="15.75">
      <c r="A222" s="421">
        <v>41</v>
      </c>
      <c r="B222" s="597" t="s">
        <v>365</v>
      </c>
      <c r="C222" s="1010">
        <v>289667.08333333302</v>
      </c>
      <c r="D222" s="1040">
        <v>12</v>
      </c>
      <c r="E222" s="1010">
        <f t="shared" si="29"/>
        <v>3476005</v>
      </c>
      <c r="F222" s="1010"/>
      <c r="G222" s="1010">
        <v>51035.474999999999</v>
      </c>
      <c r="H222" s="1035">
        <v>245440.4</v>
      </c>
      <c r="I222" s="882"/>
      <c r="J222" s="1010">
        <f t="shared" si="31"/>
        <v>296475.875</v>
      </c>
      <c r="K222" s="1010">
        <f t="shared" si="32"/>
        <v>3179529.125</v>
      </c>
      <c r="L222" s="1010">
        <f t="shared" si="33"/>
        <v>362315.242499999</v>
      </c>
      <c r="M222" s="431">
        <v>12</v>
      </c>
      <c r="N222" s="1053">
        <f t="shared" si="34"/>
        <v>30192.936874999901</v>
      </c>
      <c r="O222" s="753">
        <v>30192.936874999901</v>
      </c>
      <c r="P222" s="753">
        <f t="shared" si="35"/>
        <v>0</v>
      </c>
      <c r="Q222" s="754"/>
      <c r="R222" s="436"/>
      <c r="S222" s="436"/>
    </row>
    <row r="223" spans="1:19" ht="15.75">
      <c r="A223" s="421">
        <v>42</v>
      </c>
      <c r="B223" s="313" t="s">
        <v>366</v>
      </c>
      <c r="C223" s="1010">
        <v>289667.08333333302</v>
      </c>
      <c r="D223" s="1040">
        <v>12</v>
      </c>
      <c r="E223" s="1010">
        <f t="shared" si="29"/>
        <v>3476005</v>
      </c>
      <c r="F223" s="1010"/>
      <c r="G223" s="1010">
        <v>0</v>
      </c>
      <c r="H223" s="1035">
        <v>245440.4</v>
      </c>
      <c r="I223" s="882"/>
      <c r="J223" s="1010">
        <f t="shared" si="31"/>
        <v>245440.4</v>
      </c>
      <c r="K223" s="1010">
        <f t="shared" si="32"/>
        <v>3230564.6</v>
      </c>
      <c r="L223" s="1010">
        <f t="shared" si="33"/>
        <v>371501.62799999898</v>
      </c>
      <c r="M223" s="431">
        <v>12</v>
      </c>
      <c r="N223" s="1053">
        <f t="shared" si="34"/>
        <v>30958.468999999899</v>
      </c>
      <c r="O223" s="753">
        <v>30958.468999999899</v>
      </c>
      <c r="P223" s="753">
        <f t="shared" si="35"/>
        <v>0</v>
      </c>
      <c r="Q223" s="754"/>
      <c r="R223" s="436"/>
      <c r="S223" s="436"/>
    </row>
    <row r="224" spans="1:19" ht="17.100000000000001" customHeight="1">
      <c r="A224" s="421">
        <v>43</v>
      </c>
      <c r="B224" s="597" t="s">
        <v>367</v>
      </c>
      <c r="C224" s="1010">
        <v>286683.75</v>
      </c>
      <c r="D224" s="1040">
        <v>12</v>
      </c>
      <c r="E224" s="1010">
        <f t="shared" si="29"/>
        <v>3440205</v>
      </c>
      <c r="F224" s="1010"/>
      <c r="G224" s="1010">
        <v>0</v>
      </c>
      <c r="H224" s="1035">
        <v>239696.4</v>
      </c>
      <c r="I224" s="882"/>
      <c r="J224" s="1010">
        <f t="shared" si="31"/>
        <v>239696.4</v>
      </c>
      <c r="K224" s="1010">
        <f t="shared" si="32"/>
        <v>3200508.6</v>
      </c>
      <c r="L224" s="1010">
        <f t="shared" si="33"/>
        <v>366091.54800000001</v>
      </c>
      <c r="M224" s="431">
        <v>12</v>
      </c>
      <c r="N224" s="1053">
        <f t="shared" si="34"/>
        <v>30507.629000000001</v>
      </c>
      <c r="O224" s="753">
        <v>30507.629000000001</v>
      </c>
      <c r="P224" s="753">
        <f t="shared" si="35"/>
        <v>0</v>
      </c>
      <c r="Q224" s="754"/>
      <c r="R224" s="436"/>
      <c r="S224" s="436"/>
    </row>
    <row r="225" spans="1:19" ht="15.75">
      <c r="A225" s="421">
        <v>44</v>
      </c>
      <c r="B225" s="597" t="s">
        <v>369</v>
      </c>
      <c r="C225" s="1010">
        <v>283683.75</v>
      </c>
      <c r="D225" s="1040">
        <v>12</v>
      </c>
      <c r="E225" s="1010">
        <f t="shared" si="29"/>
        <v>3404205</v>
      </c>
      <c r="F225" s="1010"/>
      <c r="G225" s="1010">
        <v>0</v>
      </c>
      <c r="H225" s="1035">
        <v>239696.4</v>
      </c>
      <c r="I225" s="882"/>
      <c r="J225" s="1010">
        <f t="shared" si="31"/>
        <v>239696.4</v>
      </c>
      <c r="K225" s="1010">
        <f t="shared" si="32"/>
        <v>3164508.6</v>
      </c>
      <c r="L225" s="1010">
        <f t="shared" si="33"/>
        <v>359611.54800000001</v>
      </c>
      <c r="M225" s="431">
        <v>12</v>
      </c>
      <c r="N225" s="1053">
        <f t="shared" si="34"/>
        <v>29967.629000000001</v>
      </c>
      <c r="O225" s="753">
        <v>29967.629000000001</v>
      </c>
      <c r="P225" s="753">
        <f t="shared" si="35"/>
        <v>0</v>
      </c>
      <c r="Q225" s="754"/>
      <c r="R225" s="436"/>
      <c r="S225" s="436"/>
    </row>
    <row r="226" spans="1:19" ht="15.75">
      <c r="A226" s="421">
        <v>45</v>
      </c>
      <c r="B226" s="597" t="s">
        <v>370</v>
      </c>
      <c r="C226" s="1010">
        <v>286683.75</v>
      </c>
      <c r="D226" s="1040">
        <v>12</v>
      </c>
      <c r="E226" s="1010">
        <f t="shared" si="29"/>
        <v>3440205</v>
      </c>
      <c r="F226" s="1010"/>
      <c r="G226" s="1010">
        <v>0</v>
      </c>
      <c r="H226" s="1035">
        <v>239696.4</v>
      </c>
      <c r="I226" s="882"/>
      <c r="J226" s="1010">
        <f t="shared" si="31"/>
        <v>239696.4</v>
      </c>
      <c r="K226" s="1010">
        <f t="shared" si="32"/>
        <v>3200508.6</v>
      </c>
      <c r="L226" s="1010">
        <f t="shared" si="33"/>
        <v>366091.54800000001</v>
      </c>
      <c r="M226" s="431">
        <v>12</v>
      </c>
      <c r="N226" s="1053">
        <f t="shared" si="34"/>
        <v>30507.629000000001</v>
      </c>
      <c r="O226" s="753">
        <v>30507.629000000001</v>
      </c>
      <c r="P226" s="753">
        <f t="shared" si="35"/>
        <v>0</v>
      </c>
      <c r="Q226" s="754"/>
      <c r="R226" s="436"/>
      <c r="S226" s="436"/>
    </row>
    <row r="227" spans="1:19" ht="15.75">
      <c r="A227" s="421">
        <v>46</v>
      </c>
      <c r="B227" s="597" t="s">
        <v>371</v>
      </c>
      <c r="C227" s="1010">
        <v>283683.75</v>
      </c>
      <c r="D227" s="1040">
        <v>12</v>
      </c>
      <c r="E227" s="1010">
        <f t="shared" si="29"/>
        <v>3404205</v>
      </c>
      <c r="F227" s="1010"/>
      <c r="G227" s="1010">
        <v>0</v>
      </c>
      <c r="H227" s="1035">
        <v>239696.4</v>
      </c>
      <c r="I227" s="882"/>
      <c r="J227" s="1010">
        <f t="shared" si="31"/>
        <v>239696.4</v>
      </c>
      <c r="K227" s="1010">
        <f t="shared" si="32"/>
        <v>3164508.6</v>
      </c>
      <c r="L227" s="1010">
        <f t="shared" si="33"/>
        <v>359611.54800000001</v>
      </c>
      <c r="M227" s="431">
        <v>12</v>
      </c>
      <c r="N227" s="1053">
        <f t="shared" si="34"/>
        <v>29967.629000000001</v>
      </c>
      <c r="O227" s="753">
        <v>29967.629000000001</v>
      </c>
      <c r="P227" s="753">
        <f t="shared" si="35"/>
        <v>0</v>
      </c>
      <c r="Q227" s="754"/>
      <c r="R227" s="436"/>
      <c r="S227" s="436"/>
    </row>
    <row r="228" spans="1:19" ht="15.75">
      <c r="A228" s="421">
        <v>47</v>
      </c>
      <c r="B228" s="597" t="s">
        <v>372</v>
      </c>
      <c r="C228" s="882">
        <v>283683.75</v>
      </c>
      <c r="D228" s="1040">
        <v>12</v>
      </c>
      <c r="E228" s="1010">
        <f t="shared" si="29"/>
        <v>3404205</v>
      </c>
      <c r="F228" s="1010"/>
      <c r="G228" s="1010">
        <v>0</v>
      </c>
      <c r="H228" s="1035">
        <v>239696.4</v>
      </c>
      <c r="I228" s="882"/>
      <c r="J228" s="1010">
        <f t="shared" si="31"/>
        <v>239696.4</v>
      </c>
      <c r="K228" s="1010">
        <f t="shared" si="32"/>
        <v>3164508.6</v>
      </c>
      <c r="L228" s="1010">
        <f t="shared" si="33"/>
        <v>359611.54800000001</v>
      </c>
      <c r="M228" s="431">
        <v>12</v>
      </c>
      <c r="N228" s="1053">
        <f t="shared" si="34"/>
        <v>29967.629000000001</v>
      </c>
      <c r="O228" s="753">
        <v>29967.629000000001</v>
      </c>
      <c r="P228" s="753">
        <f t="shared" si="35"/>
        <v>0</v>
      </c>
      <c r="Q228" s="754"/>
      <c r="R228" s="436"/>
      <c r="S228" s="436"/>
    </row>
    <row r="229" spans="1:19" ht="31.5">
      <c r="A229" s="421">
        <v>48</v>
      </c>
      <c r="B229" s="597" t="s">
        <v>373</v>
      </c>
      <c r="C229" s="882">
        <v>274717.16666666698</v>
      </c>
      <c r="D229" s="1040">
        <v>12</v>
      </c>
      <c r="E229" s="1010">
        <f t="shared" si="29"/>
        <v>3296606</v>
      </c>
      <c r="F229" s="1010"/>
      <c r="G229" s="1010">
        <v>0</v>
      </c>
      <c r="H229" s="1035">
        <v>228208.48</v>
      </c>
      <c r="I229" s="882"/>
      <c r="J229" s="1010">
        <f t="shared" si="31"/>
        <v>228208.48</v>
      </c>
      <c r="K229" s="1010">
        <f t="shared" si="32"/>
        <v>3068397.52</v>
      </c>
      <c r="L229" s="1010">
        <f t="shared" si="33"/>
        <v>342311.55360000097</v>
      </c>
      <c r="M229" s="431">
        <v>12</v>
      </c>
      <c r="N229" s="1053">
        <f t="shared" si="34"/>
        <v>28525.962800000099</v>
      </c>
      <c r="O229" s="753">
        <v>28525.962800000099</v>
      </c>
      <c r="P229" s="753">
        <f t="shared" si="35"/>
        <v>0</v>
      </c>
      <c r="Q229" s="754"/>
    </row>
    <row r="230" spans="1:19" ht="15.75">
      <c r="A230" s="421">
        <v>49</v>
      </c>
      <c r="B230" s="313" t="s">
        <v>375</v>
      </c>
      <c r="C230" s="753">
        <v>274717.16666666698</v>
      </c>
      <c r="D230" s="1040">
        <v>12</v>
      </c>
      <c r="E230" s="1010">
        <f t="shared" si="29"/>
        <v>3296606</v>
      </c>
      <c r="F230" s="1010"/>
      <c r="G230" s="753">
        <v>0</v>
      </c>
      <c r="H230" s="1035">
        <v>228208.48</v>
      </c>
      <c r="I230" s="754"/>
      <c r="J230" s="1010">
        <f t="shared" si="31"/>
        <v>228208.48</v>
      </c>
      <c r="K230" s="1010">
        <f t="shared" si="32"/>
        <v>3068397.52</v>
      </c>
      <c r="L230" s="1010">
        <f t="shared" si="33"/>
        <v>342311.55360000097</v>
      </c>
      <c r="M230" s="431">
        <v>12</v>
      </c>
      <c r="N230" s="1053">
        <f t="shared" si="34"/>
        <v>28525.962800000099</v>
      </c>
      <c r="O230" s="753">
        <v>28525.962800000099</v>
      </c>
      <c r="P230" s="753">
        <f t="shared" si="35"/>
        <v>0</v>
      </c>
      <c r="Q230" s="754"/>
    </row>
    <row r="231" spans="1:19" ht="15.75">
      <c r="A231" s="421">
        <v>50</v>
      </c>
      <c r="B231" s="313" t="s">
        <v>376</v>
      </c>
      <c r="C231" s="753">
        <v>280700.41666666698</v>
      </c>
      <c r="D231" s="1040">
        <v>12</v>
      </c>
      <c r="E231" s="1010">
        <f t="shared" si="29"/>
        <v>3368405</v>
      </c>
      <c r="F231" s="1010"/>
      <c r="G231" s="753">
        <v>0</v>
      </c>
      <c r="H231" s="1035">
        <v>233952.4</v>
      </c>
      <c r="I231" s="754"/>
      <c r="J231" s="1010">
        <f t="shared" si="31"/>
        <v>233952.4</v>
      </c>
      <c r="K231" s="1010">
        <f t="shared" si="32"/>
        <v>3134452.6</v>
      </c>
      <c r="L231" s="1010">
        <f t="shared" si="33"/>
        <v>354201.46800000098</v>
      </c>
      <c r="M231" s="431">
        <v>12</v>
      </c>
      <c r="N231" s="1053">
        <f t="shared" si="34"/>
        <v>29516.789000000099</v>
      </c>
      <c r="O231" s="753">
        <v>29516.789000000099</v>
      </c>
      <c r="P231" s="753">
        <f t="shared" si="35"/>
        <v>0</v>
      </c>
      <c r="Q231" s="754"/>
    </row>
    <row r="232" spans="1:19" ht="15.75">
      <c r="A232" s="421">
        <v>51</v>
      </c>
      <c r="B232" s="597" t="s">
        <v>378</v>
      </c>
      <c r="C232" s="753">
        <v>252750.58333333299</v>
      </c>
      <c r="D232" s="1040">
        <v>12</v>
      </c>
      <c r="E232" s="1010">
        <f t="shared" si="29"/>
        <v>3033007</v>
      </c>
      <c r="F232" s="1010"/>
      <c r="G232" s="753">
        <v>0</v>
      </c>
      <c r="H232" s="1035">
        <v>216720.56</v>
      </c>
      <c r="I232" s="754"/>
      <c r="J232" s="1010">
        <f t="shared" si="31"/>
        <v>216720.56</v>
      </c>
      <c r="K232" s="1010">
        <f t="shared" si="32"/>
        <v>2816286.44</v>
      </c>
      <c r="L232" s="1010">
        <f t="shared" si="33"/>
        <v>302442.96599999903</v>
      </c>
      <c r="M232" s="431">
        <v>12</v>
      </c>
      <c r="N232" s="1053">
        <f t="shared" si="34"/>
        <v>25203.580499999902</v>
      </c>
      <c r="O232" s="753">
        <v>25203.580499999902</v>
      </c>
      <c r="P232" s="753">
        <f t="shared" si="35"/>
        <v>0</v>
      </c>
      <c r="Q232" s="754"/>
    </row>
    <row r="233" spans="1:19" ht="15.75">
      <c r="A233" s="421">
        <v>52</v>
      </c>
      <c r="B233" s="597" t="s">
        <v>380</v>
      </c>
      <c r="C233" s="753">
        <v>252750.58333333299</v>
      </c>
      <c r="D233" s="1040">
        <v>12</v>
      </c>
      <c r="E233" s="1010">
        <f t="shared" si="29"/>
        <v>3033007</v>
      </c>
      <c r="F233" s="1010"/>
      <c r="G233" s="753">
        <v>0</v>
      </c>
      <c r="H233" s="1035">
        <v>216720.56</v>
      </c>
      <c r="I233" s="754"/>
      <c r="J233" s="1010">
        <f t="shared" si="31"/>
        <v>216720.56</v>
      </c>
      <c r="K233" s="1010">
        <f t="shared" si="32"/>
        <v>2816286.44</v>
      </c>
      <c r="L233" s="1010">
        <f t="shared" si="33"/>
        <v>302442.96599999903</v>
      </c>
      <c r="M233" s="431">
        <v>12</v>
      </c>
      <c r="N233" s="1053">
        <f t="shared" si="34"/>
        <v>25203.580499999902</v>
      </c>
      <c r="O233" s="753">
        <v>25203.580499999902</v>
      </c>
      <c r="P233" s="753">
        <f t="shared" si="35"/>
        <v>0</v>
      </c>
      <c r="Q233" s="754"/>
    </row>
    <row r="234" spans="1:19" ht="15.75">
      <c r="A234" s="421">
        <v>53</v>
      </c>
      <c r="B234" s="313" t="s">
        <v>381</v>
      </c>
      <c r="C234" s="753">
        <v>252750.58333333299</v>
      </c>
      <c r="D234" s="1040">
        <v>12</v>
      </c>
      <c r="E234" s="1010">
        <f t="shared" ref="E234:E248" si="36">C234*D234</f>
        <v>3033007</v>
      </c>
      <c r="F234" s="1010"/>
      <c r="G234" s="753">
        <v>0</v>
      </c>
      <c r="H234" s="1035">
        <v>216720.56</v>
      </c>
      <c r="I234" s="754"/>
      <c r="J234" s="1010">
        <f t="shared" si="31"/>
        <v>216720.56</v>
      </c>
      <c r="K234" s="1010">
        <f t="shared" si="32"/>
        <v>2816286.44</v>
      </c>
      <c r="L234" s="1010">
        <f t="shared" si="33"/>
        <v>302442.96599999903</v>
      </c>
      <c r="M234" s="431">
        <v>12</v>
      </c>
      <c r="N234" s="1053">
        <f t="shared" si="34"/>
        <v>25203.580499999902</v>
      </c>
      <c r="O234" s="753">
        <v>25203.580499999902</v>
      </c>
      <c r="P234" s="753">
        <f t="shared" si="35"/>
        <v>0</v>
      </c>
      <c r="Q234" s="754"/>
    </row>
    <row r="235" spans="1:19" ht="15.75">
      <c r="A235" s="421">
        <v>54</v>
      </c>
      <c r="B235" s="313" t="s">
        <v>382</v>
      </c>
      <c r="C235" s="753">
        <v>252750.58333333299</v>
      </c>
      <c r="D235" s="1040">
        <v>12</v>
      </c>
      <c r="E235" s="1010">
        <f t="shared" si="36"/>
        <v>3033007</v>
      </c>
      <c r="F235" s="1010"/>
      <c r="G235" s="753">
        <v>0</v>
      </c>
      <c r="H235" s="1035">
        <v>216720.56</v>
      </c>
      <c r="I235" s="754"/>
      <c r="J235" s="1010">
        <f t="shared" si="31"/>
        <v>216720.56</v>
      </c>
      <c r="K235" s="1010">
        <f t="shared" si="32"/>
        <v>2816286.44</v>
      </c>
      <c r="L235" s="1010">
        <f t="shared" si="33"/>
        <v>302442.96599999903</v>
      </c>
      <c r="M235" s="431">
        <v>12</v>
      </c>
      <c r="N235" s="1053">
        <f t="shared" si="34"/>
        <v>25203.580499999902</v>
      </c>
      <c r="O235" s="753">
        <v>25203.580499999902</v>
      </c>
      <c r="P235" s="753">
        <f t="shared" si="35"/>
        <v>0</v>
      </c>
      <c r="Q235" s="754"/>
    </row>
    <row r="236" spans="1:19" ht="15.75">
      <c r="A236" s="421">
        <v>55</v>
      </c>
      <c r="B236" s="313" t="s">
        <v>383</v>
      </c>
      <c r="C236" s="753">
        <v>252750.58333333299</v>
      </c>
      <c r="D236" s="1040">
        <v>12</v>
      </c>
      <c r="E236" s="1010">
        <f t="shared" si="36"/>
        <v>3033007</v>
      </c>
      <c r="F236" s="1010"/>
      <c r="G236" s="753">
        <v>0</v>
      </c>
      <c r="H236" s="1035">
        <v>216720.56</v>
      </c>
      <c r="I236" s="754"/>
      <c r="J236" s="1010">
        <f t="shared" si="31"/>
        <v>216720.56</v>
      </c>
      <c r="K236" s="1010">
        <f t="shared" si="32"/>
        <v>2816286.44</v>
      </c>
      <c r="L236" s="1010">
        <f t="shared" si="33"/>
        <v>302442.96599999903</v>
      </c>
      <c r="M236" s="431">
        <v>12</v>
      </c>
      <c r="N236" s="1053">
        <f t="shared" si="34"/>
        <v>25203.580499999902</v>
      </c>
      <c r="O236" s="753">
        <v>25203.580499999902</v>
      </c>
      <c r="P236" s="753">
        <f t="shared" si="35"/>
        <v>0</v>
      </c>
      <c r="Q236" s="754"/>
    </row>
    <row r="237" spans="1:19" ht="15.75">
      <c r="A237" s="421">
        <v>56</v>
      </c>
      <c r="B237" s="313" t="s">
        <v>384</v>
      </c>
      <c r="C237" s="753">
        <v>252750.58333333299</v>
      </c>
      <c r="D237" s="1040">
        <v>12</v>
      </c>
      <c r="E237" s="1010">
        <f t="shared" si="36"/>
        <v>3033007</v>
      </c>
      <c r="F237" s="1010"/>
      <c r="G237" s="753">
        <v>0</v>
      </c>
      <c r="H237" s="1035">
        <v>216720.56</v>
      </c>
      <c r="I237" s="754"/>
      <c r="J237" s="1010">
        <f t="shared" si="31"/>
        <v>216720.56</v>
      </c>
      <c r="K237" s="1010">
        <f t="shared" si="32"/>
        <v>2816286.44</v>
      </c>
      <c r="L237" s="1010">
        <f t="shared" si="33"/>
        <v>302442.96599999903</v>
      </c>
      <c r="M237" s="431">
        <v>12</v>
      </c>
      <c r="N237" s="1053">
        <f t="shared" si="34"/>
        <v>25203.580499999902</v>
      </c>
      <c r="O237" s="753">
        <v>25203.580499999902</v>
      </c>
      <c r="P237" s="753">
        <f t="shared" si="35"/>
        <v>0</v>
      </c>
      <c r="Q237" s="754"/>
    </row>
    <row r="238" spans="1:19" ht="15.75">
      <c r="A238" s="421">
        <v>57</v>
      </c>
      <c r="B238" s="313" t="s">
        <v>385</v>
      </c>
      <c r="C238" s="753">
        <v>258733.83333333401</v>
      </c>
      <c r="D238" s="1040">
        <v>12</v>
      </c>
      <c r="E238" s="1010">
        <f t="shared" si="36"/>
        <v>3104806.0000000098</v>
      </c>
      <c r="F238" s="1010"/>
      <c r="G238" s="753">
        <v>0</v>
      </c>
      <c r="H238" s="1035">
        <v>222464.480000001</v>
      </c>
      <c r="I238" s="754"/>
      <c r="J238" s="1010">
        <f t="shared" si="31"/>
        <v>222464.480000001</v>
      </c>
      <c r="K238" s="1010">
        <f t="shared" si="32"/>
        <v>2882341.5200000098</v>
      </c>
      <c r="L238" s="1010">
        <f t="shared" si="33"/>
        <v>312351.22800000099</v>
      </c>
      <c r="M238" s="431">
        <v>12</v>
      </c>
      <c r="N238" s="1053">
        <f t="shared" si="34"/>
        <v>26029.269000000098</v>
      </c>
      <c r="O238" s="753">
        <v>26029.269000000098</v>
      </c>
      <c r="P238" s="753">
        <f t="shared" si="35"/>
        <v>0</v>
      </c>
      <c r="Q238" s="754"/>
    </row>
    <row r="239" spans="1:19" ht="15.75">
      <c r="A239" s="421">
        <v>58</v>
      </c>
      <c r="B239" s="313" t="s">
        <v>387</v>
      </c>
      <c r="C239" s="753">
        <v>502224.287634407</v>
      </c>
      <c r="D239" s="1040">
        <v>12</v>
      </c>
      <c r="E239" s="1010">
        <f t="shared" si="36"/>
        <v>6026691.4516128898</v>
      </c>
      <c r="F239" s="1010"/>
      <c r="G239" s="753">
        <v>0</v>
      </c>
      <c r="H239" s="1072">
        <v>143249.04</v>
      </c>
      <c r="I239" s="754"/>
      <c r="J239" s="1010">
        <f t="shared" si="31"/>
        <v>143249.04</v>
      </c>
      <c r="K239" s="1010">
        <f t="shared" si="32"/>
        <v>5883442.4116128897</v>
      </c>
      <c r="L239" s="1010">
        <f t="shared" si="33"/>
        <v>849019.63409031997</v>
      </c>
      <c r="M239" s="431">
        <v>12</v>
      </c>
      <c r="N239" s="1053">
        <f t="shared" si="34"/>
        <v>70751.636174193307</v>
      </c>
      <c r="O239" s="753">
        <v>70751.636174193307</v>
      </c>
      <c r="P239" s="753">
        <f t="shared" si="35"/>
        <v>0</v>
      </c>
      <c r="Q239" s="754"/>
    </row>
    <row r="240" spans="1:19" ht="15.75">
      <c r="A240" s="421">
        <v>59</v>
      </c>
      <c r="B240" s="313" t="s">
        <v>388</v>
      </c>
      <c r="C240" s="753">
        <v>176217.75</v>
      </c>
      <c r="D240" s="1040">
        <v>12</v>
      </c>
      <c r="E240" s="1010">
        <f t="shared" si="36"/>
        <v>2114613</v>
      </c>
      <c r="F240" s="1010"/>
      <c r="G240" s="753">
        <v>0</v>
      </c>
      <c r="H240" s="1072">
        <v>143249.04</v>
      </c>
      <c r="I240" s="875"/>
      <c r="J240" s="1010">
        <f t="shared" si="31"/>
        <v>143249.04</v>
      </c>
      <c r="K240" s="1010">
        <f t="shared" si="32"/>
        <v>1971363.96</v>
      </c>
      <c r="L240" s="1010">
        <f t="shared" si="33"/>
        <v>175704.59400000001</v>
      </c>
      <c r="M240" s="431">
        <v>12</v>
      </c>
      <c r="N240" s="1053">
        <f t="shared" si="34"/>
        <v>14642.049499999999</v>
      </c>
      <c r="O240" s="753">
        <v>14642.049499999999</v>
      </c>
      <c r="P240" s="753">
        <f t="shared" si="35"/>
        <v>0</v>
      </c>
      <c r="Q240" s="754"/>
    </row>
    <row r="241" spans="1:18" ht="17.100000000000001" customHeight="1">
      <c r="A241" s="1073">
        <v>60</v>
      </c>
      <c r="B241" s="1074" t="s">
        <v>391</v>
      </c>
      <c r="C241" s="875">
        <v>167634.66666666701</v>
      </c>
      <c r="D241" s="1040">
        <v>12</v>
      </c>
      <c r="E241" s="1010">
        <f t="shared" si="36"/>
        <v>2011616</v>
      </c>
      <c r="F241" s="1075"/>
      <c r="G241" s="875">
        <v>0</v>
      </c>
      <c r="H241" s="1072">
        <v>135009.28</v>
      </c>
      <c r="I241" s="875"/>
      <c r="J241" s="1010">
        <f t="shared" si="31"/>
        <v>135009.28</v>
      </c>
      <c r="K241" s="1010">
        <f t="shared" si="32"/>
        <v>1876606.72</v>
      </c>
      <c r="L241" s="1010">
        <f t="shared" si="33"/>
        <v>161491.00800000099</v>
      </c>
      <c r="M241" s="431">
        <v>12</v>
      </c>
      <c r="N241" s="1053">
        <f t="shared" si="34"/>
        <v>13457.584000000101</v>
      </c>
      <c r="O241" s="875">
        <v>13457.584000000101</v>
      </c>
      <c r="P241" s="753">
        <f t="shared" si="35"/>
        <v>0</v>
      </c>
      <c r="Q241" s="754"/>
    </row>
    <row r="242" spans="1:18" ht="18.95" customHeight="1">
      <c r="A242" s="71">
        <v>61</v>
      </c>
      <c r="B242" s="1076" t="s">
        <v>394</v>
      </c>
      <c r="C242" s="753">
        <v>159773.5</v>
      </c>
      <c r="D242" s="1040">
        <v>12</v>
      </c>
      <c r="E242" s="1010">
        <f t="shared" si="36"/>
        <v>1917282</v>
      </c>
      <c r="F242" s="753"/>
      <c r="G242" s="753">
        <v>0</v>
      </c>
      <c r="H242" s="753">
        <v>132262.56</v>
      </c>
      <c r="I242" s="753"/>
      <c r="J242" s="1010">
        <f t="shared" si="31"/>
        <v>132262.56</v>
      </c>
      <c r="K242" s="1010">
        <f t="shared" si="32"/>
        <v>1785019.44</v>
      </c>
      <c r="L242" s="1010">
        <f t="shared" si="33"/>
        <v>147752.916</v>
      </c>
      <c r="M242" s="431">
        <v>12</v>
      </c>
      <c r="N242" s="1053">
        <f t="shared" si="34"/>
        <v>12312.743</v>
      </c>
      <c r="O242" s="753">
        <v>12312.743</v>
      </c>
      <c r="P242" s="753">
        <f t="shared" si="35"/>
        <v>0</v>
      </c>
      <c r="Q242" s="753"/>
      <c r="R242" s="1086"/>
    </row>
    <row r="243" spans="1:18" ht="15.75">
      <c r="A243" s="71">
        <v>62</v>
      </c>
      <c r="B243" s="71" t="s">
        <v>396</v>
      </c>
      <c r="C243" s="753">
        <v>156912.66666666701</v>
      </c>
      <c r="D243" s="1040">
        <v>12</v>
      </c>
      <c r="E243" s="1010">
        <f t="shared" si="36"/>
        <v>1882952</v>
      </c>
      <c r="F243" s="753"/>
      <c r="G243" s="753">
        <v>0</v>
      </c>
      <c r="H243" s="753">
        <v>129516.16</v>
      </c>
      <c r="I243" s="753"/>
      <c r="J243" s="1010">
        <f t="shared" si="31"/>
        <v>129516.16</v>
      </c>
      <c r="K243" s="1010">
        <f t="shared" si="32"/>
        <v>1753435.84</v>
      </c>
      <c r="L243" s="1010">
        <f t="shared" si="33"/>
        <v>143015.37600000101</v>
      </c>
      <c r="M243" s="431">
        <v>12</v>
      </c>
      <c r="N243" s="1053">
        <f t="shared" si="34"/>
        <v>11917.9480000001</v>
      </c>
      <c r="O243" s="753">
        <v>11917.9480000001</v>
      </c>
      <c r="P243" s="753">
        <f t="shared" si="35"/>
        <v>0</v>
      </c>
      <c r="Q243" s="753"/>
      <c r="R243" s="1086"/>
    </row>
    <row r="244" spans="1:18" ht="15.75">
      <c r="A244" s="71">
        <v>63</v>
      </c>
      <c r="B244" s="71" t="s">
        <v>398</v>
      </c>
      <c r="C244" s="753">
        <v>150512.16666666701</v>
      </c>
      <c r="D244" s="1040">
        <v>12</v>
      </c>
      <c r="E244" s="1010">
        <f t="shared" si="36"/>
        <v>1806146</v>
      </c>
      <c r="F244" s="753"/>
      <c r="G244" s="753">
        <v>0</v>
      </c>
      <c r="H244" s="753">
        <v>126251.68</v>
      </c>
      <c r="I244" s="753"/>
      <c r="J244" s="1010">
        <f t="shared" si="31"/>
        <v>126251.68</v>
      </c>
      <c r="K244" s="1010">
        <f t="shared" si="32"/>
        <v>1679894.32</v>
      </c>
      <c r="L244" s="1010">
        <f t="shared" si="33"/>
        <v>131984.14800000101</v>
      </c>
      <c r="M244" s="431">
        <v>12</v>
      </c>
      <c r="N244" s="1053">
        <f t="shared" si="34"/>
        <v>10998.6790000001</v>
      </c>
      <c r="O244" s="753">
        <v>10998.6790000001</v>
      </c>
      <c r="P244" s="753">
        <f t="shared" si="35"/>
        <v>0</v>
      </c>
      <c r="Q244" s="753"/>
      <c r="R244" s="1086"/>
    </row>
    <row r="245" spans="1:18" ht="15.75">
      <c r="A245" s="71">
        <v>64</v>
      </c>
      <c r="B245" s="71" t="s">
        <v>401</v>
      </c>
      <c r="C245" s="753">
        <v>150512.16666666701</v>
      </c>
      <c r="D245" s="1040">
        <v>12</v>
      </c>
      <c r="E245" s="1010">
        <f t="shared" si="36"/>
        <v>1806146</v>
      </c>
      <c r="F245" s="753"/>
      <c r="G245" s="753">
        <v>0</v>
      </c>
      <c r="H245" s="753">
        <v>126251.68</v>
      </c>
      <c r="I245" s="753"/>
      <c r="J245" s="1010">
        <f t="shared" si="31"/>
        <v>126251.68</v>
      </c>
      <c r="K245" s="1010">
        <f t="shared" si="32"/>
        <v>1679894.32</v>
      </c>
      <c r="L245" s="1010">
        <f t="shared" si="33"/>
        <v>131984.14800000101</v>
      </c>
      <c r="M245" s="431">
        <v>12</v>
      </c>
      <c r="N245" s="1053">
        <f t="shared" si="34"/>
        <v>10998.6790000001</v>
      </c>
      <c r="O245" s="753">
        <v>10998.6790000001</v>
      </c>
      <c r="P245" s="753">
        <f t="shared" si="35"/>
        <v>0</v>
      </c>
      <c r="Q245" s="753"/>
      <c r="R245" s="1086"/>
    </row>
    <row r="246" spans="1:18" ht="15.75">
      <c r="A246" s="71">
        <v>65</v>
      </c>
      <c r="B246" s="71" t="s">
        <v>402</v>
      </c>
      <c r="C246" s="753">
        <v>150512.16666666701</v>
      </c>
      <c r="D246" s="1040">
        <v>12</v>
      </c>
      <c r="E246" s="1010">
        <f t="shared" si="36"/>
        <v>1806146</v>
      </c>
      <c r="F246" s="753"/>
      <c r="G246" s="753">
        <v>0</v>
      </c>
      <c r="H246" s="753">
        <v>126251.68</v>
      </c>
      <c r="I246" s="753"/>
      <c r="J246" s="1010">
        <f t="shared" si="31"/>
        <v>126251.68</v>
      </c>
      <c r="K246" s="1010">
        <f t="shared" si="32"/>
        <v>1679894.32</v>
      </c>
      <c r="L246" s="1010">
        <f t="shared" si="33"/>
        <v>131984.14800000101</v>
      </c>
      <c r="M246" s="431">
        <v>12</v>
      </c>
      <c r="N246" s="1053">
        <f t="shared" si="34"/>
        <v>10998.6790000001</v>
      </c>
      <c r="O246" s="753">
        <v>10998.6790000001</v>
      </c>
      <c r="P246" s="753">
        <f t="shared" si="35"/>
        <v>0</v>
      </c>
      <c r="Q246" s="753"/>
      <c r="R246" s="1086"/>
    </row>
    <row r="247" spans="1:18" ht="15.75">
      <c r="A247" s="71">
        <v>66</v>
      </c>
      <c r="B247" s="71" t="s">
        <v>403</v>
      </c>
      <c r="C247" s="753">
        <v>165495.66666666701</v>
      </c>
      <c r="D247" s="1040">
        <v>12</v>
      </c>
      <c r="E247" s="1010">
        <f t="shared" si="36"/>
        <v>1985948</v>
      </c>
      <c r="F247" s="753"/>
      <c r="G247" s="753">
        <v>29846.075000000001</v>
      </c>
      <c r="H247" s="753">
        <v>137755.84</v>
      </c>
      <c r="I247" s="753"/>
      <c r="J247" s="1010">
        <f t="shared" si="31"/>
        <v>167601.91500000001</v>
      </c>
      <c r="K247" s="1010">
        <f t="shared" si="32"/>
        <v>1818346.085</v>
      </c>
      <c r="L247" s="1010">
        <f t="shared" si="33"/>
        <v>152751.91275000101</v>
      </c>
      <c r="M247" s="431">
        <v>12</v>
      </c>
      <c r="N247" s="1053">
        <f t="shared" si="34"/>
        <v>12729.3260625001</v>
      </c>
      <c r="O247" s="753">
        <v>12729.3260625001</v>
      </c>
      <c r="P247" s="753">
        <f t="shared" si="35"/>
        <v>0</v>
      </c>
      <c r="Q247" s="753"/>
      <c r="R247" s="1086"/>
    </row>
    <row r="248" spans="1:18" ht="15.75">
      <c r="A248" s="71">
        <v>67</v>
      </c>
      <c r="B248" s="71" t="s">
        <v>406</v>
      </c>
      <c r="C248" s="753">
        <v>165495.66666666701</v>
      </c>
      <c r="D248" s="1040">
        <v>12</v>
      </c>
      <c r="E248" s="1010">
        <f t="shared" si="36"/>
        <v>1985948</v>
      </c>
      <c r="F248" s="753"/>
      <c r="G248" s="753">
        <v>0</v>
      </c>
      <c r="H248" s="753">
        <v>137755.84</v>
      </c>
      <c r="I248" s="753"/>
      <c r="J248" s="1010">
        <f t="shared" si="31"/>
        <v>137755.84</v>
      </c>
      <c r="K248" s="1010">
        <f t="shared" si="32"/>
        <v>1848192.16</v>
      </c>
      <c r="L248" s="1010">
        <f t="shared" si="33"/>
        <v>157228.82400000101</v>
      </c>
      <c r="M248" s="431">
        <v>12</v>
      </c>
      <c r="N248" s="1053">
        <f t="shared" si="34"/>
        <v>13102.4020000001</v>
      </c>
      <c r="O248" s="753">
        <v>13102.4020000001</v>
      </c>
      <c r="P248" s="753">
        <f t="shared" si="35"/>
        <v>0</v>
      </c>
      <c r="Q248" s="753"/>
      <c r="R248" s="1086"/>
    </row>
    <row r="249" spans="1:18" ht="15.75">
      <c r="A249" s="71"/>
      <c r="B249" s="71" t="s">
        <v>120</v>
      </c>
      <c r="C249" s="1077">
        <f>SUM(C182:C248)</f>
        <v>26562507.620967701</v>
      </c>
      <c r="D249" s="1078"/>
      <c r="E249" s="1077">
        <f t="shared" ref="E249:P249" si="37">SUM(E182:E248)</f>
        <v>318750091.45161301</v>
      </c>
      <c r="F249" s="1077"/>
      <c r="G249" s="1077">
        <f t="shared" si="37"/>
        <v>2043336.25</v>
      </c>
      <c r="H249" s="1077">
        <f t="shared" si="37"/>
        <v>22329984.879999999</v>
      </c>
      <c r="I249" s="1077">
        <f t="shared" si="37"/>
        <v>0</v>
      </c>
      <c r="J249" s="1077">
        <f t="shared" si="37"/>
        <v>24373321.129999999</v>
      </c>
      <c r="K249" s="1077">
        <f t="shared" si="37"/>
        <v>294376770.32161301</v>
      </c>
      <c r="L249" s="1077">
        <f t="shared" si="37"/>
        <v>39771255.257840298</v>
      </c>
      <c r="M249" s="1077"/>
      <c r="N249" s="1082">
        <f t="shared" si="37"/>
        <v>3314271.2714867</v>
      </c>
      <c r="O249" s="1077">
        <f t="shared" si="37"/>
        <v>3314271.2714867</v>
      </c>
      <c r="P249" s="1077">
        <f t="shared" si="37"/>
        <v>0</v>
      </c>
      <c r="Q249" s="753"/>
      <c r="R249" s="1086"/>
    </row>
    <row r="250" spans="1:18" ht="15.75">
      <c r="A250" s="71"/>
      <c r="B250" s="71"/>
      <c r="C250" s="1077"/>
      <c r="D250" s="1078"/>
      <c r="E250" s="1077"/>
      <c r="F250" s="1077"/>
      <c r="G250" s="1077"/>
      <c r="H250" s="1077"/>
      <c r="I250" s="1077"/>
      <c r="J250" s="1077"/>
      <c r="K250" s="1077"/>
      <c r="L250" s="1077"/>
      <c r="M250" s="1077"/>
      <c r="N250" s="1082"/>
      <c r="O250" s="1077"/>
      <c r="P250" s="1077"/>
      <c r="Q250" s="753"/>
      <c r="R250" s="1086"/>
    </row>
    <row r="251" spans="1:18" ht="23.1" customHeight="1">
      <c r="A251" s="71"/>
      <c r="B251" s="624" t="s">
        <v>408</v>
      </c>
      <c r="C251" s="877">
        <f>C249+C179+C164+C156+C145+C131+C121+C105+C91+C77+C72+C57+C47</f>
        <v>123258048.821702</v>
      </c>
      <c r="D251" s="1079"/>
      <c r="E251" s="877">
        <f t="shared" ref="E251:P251" si="38">E249+E179+E164+E156+E145+E131+E121+E105+E91+E77+E72+E57+E47</f>
        <v>1479096585.86043</v>
      </c>
      <c r="F251" s="877"/>
      <c r="G251" s="877">
        <f t="shared" si="38"/>
        <v>8133765.2249999996</v>
      </c>
      <c r="H251" s="877">
        <f t="shared" si="38"/>
        <v>94929105.439999893</v>
      </c>
      <c r="I251" s="877">
        <f t="shared" si="38"/>
        <v>0</v>
      </c>
      <c r="J251" s="877">
        <f t="shared" si="38"/>
        <v>104612870.66500001</v>
      </c>
      <c r="K251" s="877">
        <f t="shared" si="38"/>
        <v>1374483715.19543</v>
      </c>
      <c r="L251" s="877">
        <f t="shared" si="38"/>
        <v>208061147.211777</v>
      </c>
      <c r="M251" s="877"/>
      <c r="N251" s="1083">
        <f t="shared" si="38"/>
        <v>17258490.989914801</v>
      </c>
      <c r="O251" s="877">
        <f t="shared" si="38"/>
        <v>17282990.989914801</v>
      </c>
      <c r="P251" s="1083">
        <f t="shared" si="38"/>
        <v>-24500.000000000098</v>
      </c>
      <c r="Q251" s="244"/>
      <c r="R251" s="1086"/>
    </row>
    <row r="252" spans="1:18" ht="15.75">
      <c r="A252" s="71"/>
      <c r="B252" s="71"/>
      <c r="C252" s="71"/>
      <c r="D252" s="1080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1084"/>
      <c r="P252" s="71"/>
      <c r="Q252" s="71"/>
    </row>
    <row r="253" spans="1:18" ht="15.75">
      <c r="A253" s="590"/>
      <c r="B253" s="590"/>
      <c r="C253" s="590"/>
      <c r="D253" s="1081"/>
      <c r="E253" s="590"/>
      <c r="F253" s="590"/>
      <c r="G253" s="590"/>
      <c r="H253" s="590"/>
      <c r="I253" s="590"/>
      <c r="J253" s="590"/>
      <c r="K253" s="590"/>
      <c r="L253" s="590"/>
      <c r="M253" s="590"/>
      <c r="N253" s="590"/>
      <c r="O253" s="1085"/>
      <c r="P253" s="590"/>
      <c r="Q253" s="590"/>
    </row>
    <row r="254" spans="1:18" ht="15.75">
      <c r="A254" s="590"/>
      <c r="B254" s="590"/>
      <c r="C254" s="590"/>
      <c r="D254" s="1081"/>
      <c r="E254" s="590"/>
      <c r="F254" s="590"/>
      <c r="G254" s="590"/>
      <c r="H254" s="590"/>
      <c r="I254" s="590"/>
      <c r="J254" s="590"/>
      <c r="K254" s="590"/>
      <c r="L254" s="590"/>
      <c r="M254" s="590"/>
      <c r="N254" s="590"/>
      <c r="O254" s="590"/>
      <c r="P254" s="1085">
        <f>P251*2</f>
        <v>-49000.000000000196</v>
      </c>
      <c r="Q254" s="590"/>
    </row>
    <row r="255" spans="1:18" ht="15.75">
      <c r="A255" s="590"/>
      <c r="B255" s="590"/>
      <c r="C255" s="590"/>
      <c r="D255" s="1081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607">
        <f>MEMO!I44</f>
        <v>0</v>
      </c>
      <c r="Q255" s="590"/>
    </row>
    <row r="256" spans="1:18" ht="15.75">
      <c r="A256" s="590"/>
      <c r="B256" s="590"/>
      <c r="C256" s="590"/>
      <c r="D256" s="1081"/>
      <c r="E256" s="590"/>
      <c r="F256" s="590"/>
      <c r="G256" s="590"/>
      <c r="H256" s="590"/>
      <c r="I256" s="590"/>
      <c r="J256" s="590"/>
      <c r="K256" s="590"/>
      <c r="L256" s="590"/>
      <c r="M256" s="590"/>
      <c r="N256" s="590"/>
      <c r="O256" s="590"/>
      <c r="P256" s="1085">
        <f>P254+P255</f>
        <v>-49000.000000000196</v>
      </c>
      <c r="Q256" s="590"/>
    </row>
    <row r="257" spans="1:17" ht="15.75">
      <c r="A257" s="590"/>
      <c r="B257" s="590"/>
      <c r="C257" s="590"/>
      <c r="D257" s="1081"/>
      <c r="E257" s="590"/>
      <c r="F257" s="590"/>
      <c r="G257" s="590"/>
      <c r="H257" s="590"/>
      <c r="I257" s="590"/>
      <c r="J257" s="590"/>
      <c r="K257" s="590"/>
      <c r="L257" s="590"/>
      <c r="M257" s="590"/>
      <c r="N257" s="590"/>
      <c r="O257" s="590"/>
      <c r="P257" s="590"/>
      <c r="Q257" s="590"/>
    </row>
    <row r="258" spans="1:17" ht="15.75">
      <c r="A258" s="590"/>
      <c r="B258" s="590"/>
      <c r="C258" s="590"/>
      <c r="D258" s="1081"/>
      <c r="E258" s="590"/>
      <c r="F258" s="590"/>
      <c r="G258" s="590"/>
      <c r="H258" s="590"/>
      <c r="I258" s="590"/>
      <c r="J258" s="590"/>
      <c r="K258" s="590"/>
      <c r="L258" s="590"/>
      <c r="M258" s="590"/>
      <c r="N258" s="590"/>
      <c r="O258" s="590"/>
      <c r="P258" s="590"/>
      <c r="Q258" s="590"/>
    </row>
    <row r="259" spans="1:17" ht="15.75">
      <c r="A259" s="590"/>
      <c r="B259" s="590"/>
      <c r="C259" s="590"/>
      <c r="D259" s="1081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</row>
  </sheetData>
  <mergeCells count="3">
    <mergeCell ref="A1:N1"/>
    <mergeCell ref="A2:N2"/>
    <mergeCell ref="A3:N3"/>
  </mergeCells>
  <pageMargins left="0.7" right="0.7" top="0.75" bottom="0.75" header="0.3" footer="0.3"/>
  <pageSetup paperSize="25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6"/>
  <sheetViews>
    <sheetView workbookViewId="0">
      <selection activeCell="D107" sqref="D107"/>
    </sheetView>
  </sheetViews>
  <sheetFormatPr defaultColWidth="8.7109375" defaultRowHeight="12.75"/>
  <cols>
    <col min="1" max="1" width="5.28515625" customWidth="1"/>
    <col min="2" max="2" width="31.85546875" customWidth="1"/>
    <col min="4" max="4" width="21.140625" customWidth="1"/>
    <col min="5" max="5" width="11.42578125" customWidth="1"/>
  </cols>
  <sheetData>
    <row r="1" spans="1:19" s="988" customFormat="1" ht="12.95" customHeight="1">
      <c r="A1" s="989" t="s">
        <v>486</v>
      </c>
      <c r="B1" s="990"/>
      <c r="C1" s="990"/>
      <c r="D1" s="990"/>
      <c r="E1" s="991"/>
      <c r="F1" s="991"/>
      <c r="G1" s="991"/>
      <c r="H1" s="991"/>
      <c r="I1" s="991"/>
      <c r="J1" s="991"/>
      <c r="K1" s="991"/>
      <c r="L1" s="991"/>
      <c r="M1" s="991"/>
      <c r="N1" s="991"/>
      <c r="O1" s="991"/>
      <c r="P1" s="991"/>
      <c r="Q1" s="991"/>
      <c r="R1" s="991"/>
      <c r="S1" s="991"/>
    </row>
    <row r="2" spans="1:19" s="988" customFormat="1" ht="12.95" customHeight="1">
      <c r="A2" s="989" t="s">
        <v>487</v>
      </c>
      <c r="B2" s="992"/>
      <c r="C2" s="992"/>
      <c r="D2" s="993"/>
      <c r="E2" s="990"/>
      <c r="F2" s="991"/>
      <c r="G2" s="991"/>
      <c r="H2" s="991"/>
      <c r="I2" s="991"/>
      <c r="J2" s="991"/>
      <c r="K2" s="991"/>
      <c r="L2" s="991"/>
      <c r="M2" s="991"/>
      <c r="N2" s="991"/>
      <c r="O2" s="991"/>
      <c r="P2" s="991"/>
      <c r="Q2" s="991"/>
      <c r="R2" s="991"/>
      <c r="S2" s="991"/>
    </row>
    <row r="3" spans="1:19" s="988" customFormat="1" ht="12.95" customHeight="1">
      <c r="A3" s="989" t="s">
        <v>488</v>
      </c>
      <c r="B3" s="992"/>
      <c r="C3" s="992"/>
      <c r="D3" s="994">
        <v>2026</v>
      </c>
      <c r="E3" s="1141" t="s">
        <v>489</v>
      </c>
      <c r="F3" s="1142"/>
      <c r="G3" s="1142"/>
      <c r="H3" s="1142"/>
      <c r="I3" s="1143"/>
      <c r="J3" s="991"/>
      <c r="K3" s="991"/>
      <c r="L3" s="991"/>
      <c r="M3" s="991"/>
      <c r="N3" s="991"/>
      <c r="O3" s="991"/>
      <c r="P3" s="991"/>
      <c r="Q3" s="991"/>
      <c r="R3" s="991"/>
      <c r="S3" s="991"/>
    </row>
    <row r="4" spans="1:19" s="988" customFormat="1" ht="12.95" customHeight="1">
      <c r="A4" s="989" t="s">
        <v>22</v>
      </c>
      <c r="B4" s="995" t="s">
        <v>490</v>
      </c>
      <c r="C4" s="996" t="s">
        <v>491</v>
      </c>
      <c r="D4" s="997" t="s">
        <v>492</v>
      </c>
      <c r="E4" s="1146" t="s">
        <v>493</v>
      </c>
      <c r="F4" s="998" t="s">
        <v>494</v>
      </c>
      <c r="G4" s="999" t="s">
        <v>495</v>
      </c>
      <c r="H4" s="999" t="s">
        <v>476</v>
      </c>
      <c r="I4" s="999" t="s">
        <v>496</v>
      </c>
      <c r="J4" s="1148" t="s">
        <v>497</v>
      </c>
      <c r="K4" s="1150" t="s">
        <v>478</v>
      </c>
      <c r="L4" s="1153" t="s">
        <v>498</v>
      </c>
      <c r="M4" s="1153" t="s">
        <v>499</v>
      </c>
      <c r="N4" s="1153" t="s">
        <v>500</v>
      </c>
      <c r="O4" s="1153" t="s">
        <v>501</v>
      </c>
      <c r="P4" s="1153" t="s">
        <v>502</v>
      </c>
      <c r="Q4" s="1153" t="s">
        <v>503</v>
      </c>
      <c r="R4" s="1153" t="s">
        <v>504</v>
      </c>
      <c r="S4" s="1153" t="s">
        <v>505</v>
      </c>
    </row>
    <row r="5" spans="1:19" s="988" customFormat="1" ht="38.25" customHeight="1">
      <c r="A5" s="992"/>
      <c r="B5" s="993"/>
      <c r="C5" s="989" t="s">
        <v>506</v>
      </c>
      <c r="D5" s="991"/>
      <c r="E5" s="1147"/>
      <c r="F5" s="998" t="s">
        <v>507</v>
      </c>
      <c r="G5" s="1000" t="s">
        <v>508</v>
      </c>
      <c r="H5" s="1000" t="s">
        <v>509</v>
      </c>
      <c r="I5" s="998" t="s">
        <v>510</v>
      </c>
      <c r="J5" s="1149"/>
      <c r="K5" s="1151"/>
      <c r="L5" s="1154"/>
      <c r="M5" s="1154"/>
      <c r="N5" s="1154"/>
      <c r="O5" s="1154"/>
      <c r="P5" s="1154"/>
      <c r="Q5" s="1154"/>
      <c r="R5" s="1154"/>
      <c r="S5" s="1154"/>
    </row>
    <row r="6" spans="1:19" s="988" customFormat="1" ht="31.5" customHeight="1">
      <c r="A6" s="1001"/>
      <c r="B6" s="991"/>
      <c r="C6" s="991"/>
      <c r="D6" s="1002" t="s">
        <v>511</v>
      </c>
      <c r="E6" s="1003"/>
      <c r="F6" s="1004" t="s">
        <v>512</v>
      </c>
      <c r="G6" s="1144" t="s">
        <v>513</v>
      </c>
      <c r="H6" s="1145"/>
      <c r="I6" s="1145"/>
      <c r="J6" s="1003"/>
      <c r="K6" s="1152"/>
      <c r="L6" s="1003"/>
      <c r="M6" s="1003"/>
      <c r="N6" s="1003"/>
      <c r="O6" s="1029"/>
      <c r="P6" s="1003"/>
      <c r="Q6" s="990"/>
      <c r="R6" s="990"/>
      <c r="S6" s="990"/>
    </row>
    <row r="7" spans="1:19" s="988" customFormat="1" ht="31.5" customHeight="1">
      <c r="A7" s="421"/>
      <c r="B7" s="66" t="s">
        <v>23</v>
      </c>
      <c r="C7" s="991"/>
      <c r="D7" s="1006"/>
      <c r="E7" s="1003"/>
      <c r="F7" s="1004"/>
      <c r="G7" s="1007"/>
      <c r="H7" s="1005"/>
      <c r="I7" s="1030"/>
      <c r="J7" s="1003"/>
      <c r="K7" s="1028"/>
      <c r="L7" s="1003"/>
      <c r="M7" s="1003"/>
      <c r="N7" s="1031"/>
      <c r="O7" s="1032"/>
      <c r="P7" s="1003"/>
      <c r="Q7" s="990"/>
      <c r="R7" s="990"/>
      <c r="S7" s="990"/>
    </row>
    <row r="8" spans="1:19" s="988" customFormat="1" ht="20.100000000000001" customHeight="1">
      <c r="A8" s="1008">
        <v>1</v>
      </c>
      <c r="B8" s="724" t="s">
        <v>24</v>
      </c>
      <c r="C8" s="1009"/>
      <c r="D8" s="1010"/>
      <c r="E8" s="991"/>
      <c r="F8" s="1011">
        <f t="shared" ref="F8:F17" si="0">MIN(0.2*E8,500000)</f>
        <v>0</v>
      </c>
      <c r="G8" s="1010"/>
      <c r="H8" s="991"/>
      <c r="I8" s="1010"/>
      <c r="J8" s="991">
        <f t="shared" ref="J8:J14" si="1">SUM(F8:I8)</f>
        <v>0</v>
      </c>
      <c r="K8" s="991">
        <f t="shared" ref="K8:K17" si="2">(D8-J8)</f>
        <v>0</v>
      </c>
      <c r="L8" s="991">
        <f t="shared" ref="L8:L17" si="3">(K8*0%)</f>
        <v>0</v>
      </c>
      <c r="M8" s="991">
        <f t="shared" ref="M8:M17" si="4">IF((K8-800000)&lt;=0,0,IF((K8-800000)&gt;=2200000,2200000*15%,(K8-800000)*15%))</f>
        <v>0</v>
      </c>
      <c r="N8" s="1033">
        <f t="shared" ref="N8:N17" si="5">IF((K8-(3000000))&lt;=0,0,IF((K8-(3000000))&gt;=9000000,9000000*18%,(K8-(3000000))*18%))</f>
        <v>0</v>
      </c>
      <c r="O8" s="1034">
        <f t="shared" ref="O8:O17" si="6">IF((K8-(12000000))&lt;=0,0,IF((K8-(12000000))&gt;=13000000,13000000*21%,(K8-(12000000))*21%))</f>
        <v>0</v>
      </c>
      <c r="P8" s="991">
        <f t="shared" ref="P8:P17" si="7">IF((K8-(25000000))&lt;=0,0,IF((K8-(25000000))&gt;=25000000,25000000*23%,(K8-(25000000))*23%))</f>
        <v>0</v>
      </c>
      <c r="Q8" s="991">
        <f t="shared" ref="Q8:Q17" si="8">IF((K8-(50000000))&lt;=0,0,(K8-(50000000))*25%)</f>
        <v>0</v>
      </c>
      <c r="R8" s="991">
        <f t="shared" ref="R8:R14" si="9">SUM(L8:Q8)</f>
        <v>0</v>
      </c>
      <c r="S8" s="991">
        <f t="shared" ref="S8:S14" si="10">R8/12</f>
        <v>0</v>
      </c>
    </row>
    <row r="9" spans="1:19" s="988" customFormat="1" ht="20.100000000000001" customHeight="1">
      <c r="A9" s="1008">
        <v>2</v>
      </c>
      <c r="B9" s="724" t="s">
        <v>27</v>
      </c>
      <c r="C9" s="1001"/>
      <c r="D9" s="1010"/>
      <c r="E9" s="991"/>
      <c r="F9" s="1011">
        <f t="shared" si="0"/>
        <v>0</v>
      </c>
      <c r="G9" s="1010"/>
      <c r="H9" s="991"/>
      <c r="I9" s="1010"/>
      <c r="J9" s="991">
        <f t="shared" si="1"/>
        <v>0</v>
      </c>
      <c r="K9" s="991">
        <f t="shared" si="2"/>
        <v>0</v>
      </c>
      <c r="L9" s="991">
        <f t="shared" si="3"/>
        <v>0</v>
      </c>
      <c r="M9" s="991">
        <f t="shared" si="4"/>
        <v>0</v>
      </c>
      <c r="N9" s="1033">
        <f t="shared" si="5"/>
        <v>0</v>
      </c>
      <c r="O9" s="1034">
        <f t="shared" si="6"/>
        <v>0</v>
      </c>
      <c r="P9" s="991">
        <f t="shared" si="7"/>
        <v>0</v>
      </c>
      <c r="Q9" s="991">
        <f t="shared" si="8"/>
        <v>0</v>
      </c>
      <c r="R9" s="991">
        <f t="shared" si="9"/>
        <v>0</v>
      </c>
      <c r="S9" s="991">
        <f t="shared" si="10"/>
        <v>0</v>
      </c>
    </row>
    <row r="10" spans="1:19" s="988" customFormat="1" ht="20.100000000000001" customHeight="1">
      <c r="A10" s="1008">
        <v>3</v>
      </c>
      <c r="B10" s="886" t="s">
        <v>30</v>
      </c>
      <c r="C10" s="1001"/>
      <c r="D10" s="1010"/>
      <c r="E10" s="991"/>
      <c r="F10" s="1011">
        <f t="shared" si="0"/>
        <v>0</v>
      </c>
      <c r="G10" s="1010"/>
      <c r="H10" s="991"/>
      <c r="I10" s="1035"/>
      <c r="J10" s="991">
        <f t="shared" si="1"/>
        <v>0</v>
      </c>
      <c r="K10" s="991">
        <f t="shared" si="2"/>
        <v>0</v>
      </c>
      <c r="L10" s="991">
        <f t="shared" si="3"/>
        <v>0</v>
      </c>
      <c r="M10" s="991">
        <f t="shared" si="4"/>
        <v>0</v>
      </c>
      <c r="N10" s="1033">
        <f t="shared" si="5"/>
        <v>0</v>
      </c>
      <c r="O10" s="1034">
        <f t="shared" si="6"/>
        <v>0</v>
      </c>
      <c r="P10" s="991">
        <f t="shared" si="7"/>
        <v>0</v>
      </c>
      <c r="Q10" s="991">
        <f t="shared" si="8"/>
        <v>0</v>
      </c>
      <c r="R10" s="991">
        <f t="shared" si="9"/>
        <v>0</v>
      </c>
      <c r="S10" s="991">
        <f t="shared" si="10"/>
        <v>0</v>
      </c>
    </row>
    <row r="11" spans="1:19" s="988" customFormat="1" ht="20.100000000000001" customHeight="1">
      <c r="A11" s="1008">
        <v>4</v>
      </c>
      <c r="B11" s="724" t="s">
        <v>32</v>
      </c>
      <c r="C11" s="1001"/>
      <c r="D11" s="1010"/>
      <c r="E11" s="991"/>
      <c r="F11" s="1011">
        <f t="shared" si="0"/>
        <v>0</v>
      </c>
      <c r="G11" s="1010"/>
      <c r="H11" s="991"/>
      <c r="I11" s="1035"/>
      <c r="J11" s="991">
        <f t="shared" si="1"/>
        <v>0</v>
      </c>
      <c r="K11" s="991">
        <f t="shared" si="2"/>
        <v>0</v>
      </c>
      <c r="L11" s="991">
        <f t="shared" si="3"/>
        <v>0</v>
      </c>
      <c r="M11" s="991">
        <f t="shared" si="4"/>
        <v>0</v>
      </c>
      <c r="N11" s="1033">
        <f t="shared" si="5"/>
        <v>0</v>
      </c>
      <c r="O11" s="1034">
        <f t="shared" si="6"/>
        <v>0</v>
      </c>
      <c r="P11" s="991">
        <f t="shared" si="7"/>
        <v>0</v>
      </c>
      <c r="Q11" s="991">
        <f t="shared" si="8"/>
        <v>0</v>
      </c>
      <c r="R11" s="991">
        <f t="shared" si="9"/>
        <v>0</v>
      </c>
      <c r="S11" s="991">
        <f t="shared" si="10"/>
        <v>0</v>
      </c>
    </row>
    <row r="12" spans="1:19" s="988" customFormat="1" ht="20.100000000000001" customHeight="1">
      <c r="A12" s="1008">
        <v>5</v>
      </c>
      <c r="B12" s="724" t="s">
        <v>34</v>
      </c>
      <c r="C12" s="1001"/>
      <c r="D12" s="1010"/>
      <c r="E12" s="991"/>
      <c r="F12" s="1011">
        <f t="shared" si="0"/>
        <v>0</v>
      </c>
      <c r="G12" s="1010"/>
      <c r="H12" s="991"/>
      <c r="I12" s="1035"/>
      <c r="J12" s="991">
        <f t="shared" si="1"/>
        <v>0</v>
      </c>
      <c r="K12" s="991">
        <f t="shared" si="2"/>
        <v>0</v>
      </c>
      <c r="L12" s="991">
        <f t="shared" si="3"/>
        <v>0</v>
      </c>
      <c r="M12" s="991">
        <f t="shared" si="4"/>
        <v>0</v>
      </c>
      <c r="N12" s="1033">
        <f t="shared" si="5"/>
        <v>0</v>
      </c>
      <c r="O12" s="1034">
        <f t="shared" si="6"/>
        <v>0</v>
      </c>
      <c r="P12" s="991">
        <f t="shared" si="7"/>
        <v>0</v>
      </c>
      <c r="Q12" s="991">
        <f t="shared" si="8"/>
        <v>0</v>
      </c>
      <c r="R12" s="991">
        <f t="shared" si="9"/>
        <v>0</v>
      </c>
      <c r="S12" s="991">
        <f t="shared" si="10"/>
        <v>0</v>
      </c>
    </row>
    <row r="13" spans="1:19" s="988" customFormat="1" ht="20.100000000000001" customHeight="1">
      <c r="A13" s="1008">
        <v>6</v>
      </c>
      <c r="B13" s="724" t="s">
        <v>37</v>
      </c>
      <c r="C13" s="1001"/>
      <c r="D13" s="1010"/>
      <c r="E13" s="991"/>
      <c r="F13" s="1011">
        <f t="shared" si="0"/>
        <v>0</v>
      </c>
      <c r="G13" s="1010"/>
      <c r="H13" s="991"/>
      <c r="I13" s="1035"/>
      <c r="J13" s="991">
        <f t="shared" si="1"/>
        <v>0</v>
      </c>
      <c r="K13" s="991">
        <f t="shared" si="2"/>
        <v>0</v>
      </c>
      <c r="L13" s="991">
        <f t="shared" si="3"/>
        <v>0</v>
      </c>
      <c r="M13" s="991">
        <f t="shared" si="4"/>
        <v>0</v>
      </c>
      <c r="N13" s="1033">
        <f t="shared" si="5"/>
        <v>0</v>
      </c>
      <c r="O13" s="1034">
        <f t="shared" si="6"/>
        <v>0</v>
      </c>
      <c r="P13" s="991">
        <f t="shared" si="7"/>
        <v>0</v>
      </c>
      <c r="Q13" s="991">
        <f t="shared" si="8"/>
        <v>0</v>
      </c>
      <c r="R13" s="991">
        <f t="shared" si="9"/>
        <v>0</v>
      </c>
      <c r="S13" s="991">
        <f t="shared" si="10"/>
        <v>0</v>
      </c>
    </row>
    <row r="14" spans="1:19" s="988" customFormat="1" ht="20.100000000000001" customHeight="1">
      <c r="A14" s="1008">
        <v>7</v>
      </c>
      <c r="B14" s="724" t="s">
        <v>40</v>
      </c>
      <c r="C14" s="1001"/>
      <c r="D14" s="1010"/>
      <c r="E14" s="991"/>
      <c r="F14" s="1011">
        <f t="shared" si="0"/>
        <v>0</v>
      </c>
      <c r="G14" s="1010"/>
      <c r="H14" s="991"/>
      <c r="I14" s="1035"/>
      <c r="J14" s="991">
        <f t="shared" si="1"/>
        <v>0</v>
      </c>
      <c r="K14" s="991">
        <f t="shared" si="2"/>
        <v>0</v>
      </c>
      <c r="L14" s="991">
        <f t="shared" si="3"/>
        <v>0</v>
      </c>
      <c r="M14" s="991">
        <f t="shared" si="4"/>
        <v>0</v>
      </c>
      <c r="N14" s="1033">
        <f t="shared" si="5"/>
        <v>0</v>
      </c>
      <c r="O14" s="1034">
        <f t="shared" si="6"/>
        <v>0</v>
      </c>
      <c r="P14" s="991">
        <f t="shared" si="7"/>
        <v>0</v>
      </c>
      <c r="Q14" s="991">
        <f t="shared" si="8"/>
        <v>0</v>
      </c>
      <c r="R14" s="991">
        <f t="shared" si="9"/>
        <v>0</v>
      </c>
      <c r="S14" s="991">
        <f t="shared" si="10"/>
        <v>0</v>
      </c>
    </row>
    <row r="15" spans="1:19" s="988" customFormat="1" ht="20.100000000000001" customHeight="1">
      <c r="A15" s="1008">
        <v>8</v>
      </c>
      <c r="B15" s="886" t="s">
        <v>43</v>
      </c>
      <c r="C15" s="1001"/>
      <c r="D15" s="991"/>
      <c r="E15" s="991"/>
      <c r="F15" s="1011">
        <f t="shared" si="0"/>
        <v>0</v>
      </c>
      <c r="G15" s="991">
        <f t="shared" ref="G15:G17" si="11">D15*2.5%</f>
        <v>0</v>
      </c>
      <c r="H15" s="991"/>
      <c r="I15" s="991"/>
      <c r="J15" s="991">
        <f>SUM(J8:J14)</f>
        <v>0</v>
      </c>
      <c r="K15" s="991">
        <f t="shared" si="2"/>
        <v>0</v>
      </c>
      <c r="L15" s="991">
        <f t="shared" si="3"/>
        <v>0</v>
      </c>
      <c r="M15" s="991">
        <f t="shared" si="4"/>
        <v>0</v>
      </c>
      <c r="N15" s="1033">
        <f t="shared" si="5"/>
        <v>0</v>
      </c>
      <c r="O15" s="1034">
        <f t="shared" si="6"/>
        <v>0</v>
      </c>
      <c r="P15" s="991">
        <f t="shared" si="7"/>
        <v>0</v>
      </c>
      <c r="Q15" s="991">
        <f t="shared" si="8"/>
        <v>0</v>
      </c>
      <c r="R15" s="991">
        <f>SUM(R8:R14)</f>
        <v>0</v>
      </c>
      <c r="S15" s="991">
        <f>SUM(S8:S14)</f>
        <v>0</v>
      </c>
    </row>
    <row r="16" spans="1:19" s="988" customFormat="1" ht="20.100000000000001" customHeight="1">
      <c r="A16" s="1008">
        <v>9</v>
      </c>
      <c r="B16" s="724" t="s">
        <v>45</v>
      </c>
      <c r="C16" s="1001"/>
      <c r="D16" s="991"/>
      <c r="E16" s="991"/>
      <c r="F16" s="1011">
        <f t="shared" si="0"/>
        <v>0</v>
      </c>
      <c r="G16" s="991">
        <f t="shared" si="11"/>
        <v>0</v>
      </c>
      <c r="H16" s="991">
        <f>D16*1.75%</f>
        <v>0</v>
      </c>
      <c r="I16" s="991">
        <f>D16*8%</f>
        <v>0</v>
      </c>
      <c r="J16" s="991">
        <f>SUM(F16:I16)</f>
        <v>0</v>
      </c>
      <c r="K16" s="991">
        <f t="shared" si="2"/>
        <v>0</v>
      </c>
      <c r="L16" s="991">
        <f t="shared" si="3"/>
        <v>0</v>
      </c>
      <c r="M16" s="991">
        <f t="shared" si="4"/>
        <v>0</v>
      </c>
      <c r="N16" s="1033">
        <f t="shared" si="5"/>
        <v>0</v>
      </c>
      <c r="O16" s="1034">
        <f t="shared" si="6"/>
        <v>0</v>
      </c>
      <c r="P16" s="991">
        <f t="shared" si="7"/>
        <v>0</v>
      </c>
      <c r="Q16" s="991">
        <f t="shared" si="8"/>
        <v>0</v>
      </c>
      <c r="R16" s="991">
        <f>SUM(L16:Q16)</f>
        <v>0</v>
      </c>
      <c r="S16" s="991">
        <f>R16/12</f>
        <v>0</v>
      </c>
    </row>
    <row r="17" spans="1:19" s="988" customFormat="1" ht="20.100000000000001" customHeight="1">
      <c r="A17" s="1012">
        <v>10</v>
      </c>
      <c r="B17" s="724" t="s">
        <v>48</v>
      </c>
      <c r="C17" s="1013"/>
      <c r="D17" s="1014"/>
      <c r="E17" s="1015"/>
      <c r="F17" s="1011">
        <f t="shared" si="0"/>
        <v>0</v>
      </c>
      <c r="G17" s="991">
        <f t="shared" si="11"/>
        <v>0</v>
      </c>
      <c r="H17" s="991">
        <f>D17*1.75%</f>
        <v>0</v>
      </c>
      <c r="I17" s="991">
        <f>D17*8%</f>
        <v>0</v>
      </c>
      <c r="J17" s="991">
        <f>SUM(F17:I17)</f>
        <v>0</v>
      </c>
      <c r="K17" s="991">
        <f t="shared" si="2"/>
        <v>0</v>
      </c>
      <c r="L17" s="991">
        <f t="shared" si="3"/>
        <v>0</v>
      </c>
      <c r="M17" s="991">
        <f t="shared" si="4"/>
        <v>0</v>
      </c>
      <c r="N17" s="1033">
        <f t="shared" si="5"/>
        <v>0</v>
      </c>
      <c r="O17" s="1034">
        <f t="shared" si="6"/>
        <v>0</v>
      </c>
      <c r="P17" s="991">
        <f t="shared" si="7"/>
        <v>0</v>
      </c>
      <c r="Q17" s="991">
        <f t="shared" si="8"/>
        <v>0</v>
      </c>
      <c r="R17" s="991">
        <f>SUM(L17:Q17)</f>
        <v>0</v>
      </c>
      <c r="S17" s="991">
        <f>R17/12</f>
        <v>0</v>
      </c>
    </row>
    <row r="18" spans="1:19" s="988" customFormat="1" ht="20.100000000000001" customHeight="1">
      <c r="A18" s="1016">
        <v>11</v>
      </c>
      <c r="B18" s="724" t="s">
        <v>51</v>
      </c>
      <c r="C18" s="1017"/>
      <c r="D18" s="1017"/>
      <c r="E18" s="1018"/>
      <c r="F18" s="1011">
        <f t="shared" ref="F18:F48" si="12">MIN(0.2*E18,500000)</f>
        <v>0</v>
      </c>
      <c r="G18" s="991">
        <f t="shared" ref="G18:G48" si="13">D18*2.5%</f>
        <v>0</v>
      </c>
      <c r="H18" s="991">
        <f t="shared" ref="H18:H48" si="14">D18*1.75%</f>
        <v>0</v>
      </c>
      <c r="I18" s="991">
        <f t="shared" ref="I18:I48" si="15">D18*8%</f>
        <v>0</v>
      </c>
      <c r="J18" s="991">
        <f t="shared" ref="J18:J48" si="16">SUM(F18:I18)</f>
        <v>0</v>
      </c>
      <c r="K18" s="991">
        <f t="shared" ref="K18:K48" si="17">(D18-J18)</f>
        <v>0</v>
      </c>
      <c r="L18" s="991">
        <f t="shared" ref="L18:L48" si="18">(K18*0%)</f>
        <v>0</v>
      </c>
      <c r="M18" s="991">
        <f t="shared" ref="M18:M48" si="19">IF((K18-800000)&lt;=0,0,IF((K18-800000)&gt;=2200000,2200000*15%,(K18-800000)*15%))</f>
        <v>0</v>
      </c>
      <c r="N18" s="1033">
        <f t="shared" ref="N18:N48" si="20">IF((K18-(3000000))&lt;=0,0,IF((K18-(3000000))&gt;=9000000,9000000*18%,(K18-(3000000))*18%))</f>
        <v>0</v>
      </c>
      <c r="O18" s="1034">
        <f t="shared" ref="O18:O48" si="21">IF((K18-(12000000))&lt;=0,0,IF((K18-(12000000))&gt;=13000000,13000000*21%,(K18-(12000000))*21%))</f>
        <v>0</v>
      </c>
      <c r="P18" s="991">
        <f t="shared" ref="P18:P48" si="22">IF((K18-(25000000))&lt;=0,0,IF((K18-(25000000))&gt;=25000000,25000000*23%,(K18-(25000000))*23%))</f>
        <v>0</v>
      </c>
      <c r="Q18" s="991">
        <f t="shared" ref="Q18:Q48" si="23">IF((K18-(50000000))&lt;=0,0,(K18-(50000000))*25%)</f>
        <v>0</v>
      </c>
      <c r="R18" s="991">
        <f t="shared" ref="R18:R48" si="24">SUM(L18:Q18)</f>
        <v>0</v>
      </c>
      <c r="S18" s="991">
        <f t="shared" ref="S18:S48" si="25">R18/12</f>
        <v>0</v>
      </c>
    </row>
    <row r="19" spans="1:19" s="988" customFormat="1" ht="20.100000000000001" customHeight="1">
      <c r="A19" s="1016">
        <v>12</v>
      </c>
      <c r="B19" s="726" t="s">
        <v>54</v>
      </c>
      <c r="C19" s="1017"/>
      <c r="D19" s="1017"/>
      <c r="E19" s="1018"/>
      <c r="F19" s="1011">
        <f t="shared" si="12"/>
        <v>0</v>
      </c>
      <c r="G19" s="991">
        <f t="shared" si="13"/>
        <v>0</v>
      </c>
      <c r="H19" s="991">
        <f t="shared" si="14"/>
        <v>0</v>
      </c>
      <c r="I19" s="991">
        <f t="shared" si="15"/>
        <v>0</v>
      </c>
      <c r="J19" s="991">
        <f t="shared" si="16"/>
        <v>0</v>
      </c>
      <c r="K19" s="991">
        <f t="shared" si="17"/>
        <v>0</v>
      </c>
      <c r="L19" s="991">
        <f t="shared" si="18"/>
        <v>0</v>
      </c>
      <c r="M19" s="991">
        <f t="shared" si="19"/>
        <v>0</v>
      </c>
      <c r="N19" s="1033">
        <f t="shared" si="20"/>
        <v>0</v>
      </c>
      <c r="O19" s="1034">
        <f t="shared" si="21"/>
        <v>0</v>
      </c>
      <c r="P19" s="991">
        <f t="shared" si="22"/>
        <v>0</v>
      </c>
      <c r="Q19" s="991">
        <f t="shared" si="23"/>
        <v>0</v>
      </c>
      <c r="R19" s="991">
        <f t="shared" si="24"/>
        <v>0</v>
      </c>
      <c r="S19" s="991">
        <f t="shared" si="25"/>
        <v>0</v>
      </c>
    </row>
    <row r="20" spans="1:19" s="988" customFormat="1" ht="20.100000000000001" customHeight="1">
      <c r="A20" s="1016">
        <v>13</v>
      </c>
      <c r="B20" s="726" t="s">
        <v>57</v>
      </c>
      <c r="C20" s="1017"/>
      <c r="D20" s="1017"/>
      <c r="E20" s="1018"/>
      <c r="F20" s="1011">
        <f t="shared" si="12"/>
        <v>0</v>
      </c>
      <c r="G20" s="991">
        <f t="shared" si="13"/>
        <v>0</v>
      </c>
      <c r="H20" s="991">
        <f t="shared" si="14"/>
        <v>0</v>
      </c>
      <c r="I20" s="991">
        <f t="shared" si="15"/>
        <v>0</v>
      </c>
      <c r="J20" s="991">
        <f t="shared" si="16"/>
        <v>0</v>
      </c>
      <c r="K20" s="991">
        <f t="shared" si="17"/>
        <v>0</v>
      </c>
      <c r="L20" s="991">
        <f t="shared" si="18"/>
        <v>0</v>
      </c>
      <c r="M20" s="991">
        <f t="shared" si="19"/>
        <v>0</v>
      </c>
      <c r="N20" s="1033">
        <f t="shared" si="20"/>
        <v>0</v>
      </c>
      <c r="O20" s="1034">
        <f t="shared" si="21"/>
        <v>0</v>
      </c>
      <c r="P20" s="991">
        <f t="shared" si="22"/>
        <v>0</v>
      </c>
      <c r="Q20" s="991">
        <f t="shared" si="23"/>
        <v>0</v>
      </c>
      <c r="R20" s="991">
        <f t="shared" si="24"/>
        <v>0</v>
      </c>
      <c r="S20" s="991">
        <f t="shared" si="25"/>
        <v>0</v>
      </c>
    </row>
    <row r="21" spans="1:19" ht="20.100000000000001" customHeight="1">
      <c r="A21" s="1016">
        <v>14</v>
      </c>
      <c r="B21" s="726" t="s">
        <v>60</v>
      </c>
      <c r="C21" s="345"/>
      <c r="D21" s="345"/>
      <c r="E21" s="1019"/>
      <c r="F21" s="1011">
        <f t="shared" si="12"/>
        <v>0</v>
      </c>
      <c r="G21" s="991">
        <f t="shared" si="13"/>
        <v>0</v>
      </c>
      <c r="H21" s="991">
        <f t="shared" si="14"/>
        <v>0</v>
      </c>
      <c r="I21" s="991">
        <f t="shared" si="15"/>
        <v>0</v>
      </c>
      <c r="J21" s="991">
        <f t="shared" si="16"/>
        <v>0</v>
      </c>
      <c r="K21" s="991">
        <f t="shared" si="17"/>
        <v>0</v>
      </c>
      <c r="L21" s="991">
        <f t="shared" si="18"/>
        <v>0</v>
      </c>
      <c r="M21" s="991">
        <f t="shared" si="19"/>
        <v>0</v>
      </c>
      <c r="N21" s="1033">
        <f t="shared" si="20"/>
        <v>0</v>
      </c>
      <c r="O21" s="1034">
        <f t="shared" si="21"/>
        <v>0</v>
      </c>
      <c r="P21" s="991">
        <f t="shared" si="22"/>
        <v>0</v>
      </c>
      <c r="Q21" s="991">
        <f t="shared" si="23"/>
        <v>0</v>
      </c>
      <c r="R21" s="991">
        <f t="shared" si="24"/>
        <v>0</v>
      </c>
      <c r="S21" s="991">
        <f t="shared" si="25"/>
        <v>0</v>
      </c>
    </row>
    <row r="22" spans="1:19" ht="20.100000000000001" customHeight="1">
      <c r="A22" s="1016">
        <v>15</v>
      </c>
      <c r="B22" s="724" t="s">
        <v>62</v>
      </c>
      <c r="C22" s="345"/>
      <c r="D22" s="345"/>
      <c r="E22" s="1019"/>
      <c r="F22" s="1011">
        <f t="shared" si="12"/>
        <v>0</v>
      </c>
      <c r="G22" s="991">
        <f t="shared" si="13"/>
        <v>0</v>
      </c>
      <c r="H22" s="991">
        <f t="shared" si="14"/>
        <v>0</v>
      </c>
      <c r="I22" s="991">
        <f t="shared" si="15"/>
        <v>0</v>
      </c>
      <c r="J22" s="991">
        <f t="shared" si="16"/>
        <v>0</v>
      </c>
      <c r="K22" s="991">
        <f t="shared" si="17"/>
        <v>0</v>
      </c>
      <c r="L22" s="991">
        <f t="shared" si="18"/>
        <v>0</v>
      </c>
      <c r="M22" s="991">
        <f t="shared" si="19"/>
        <v>0</v>
      </c>
      <c r="N22" s="1033">
        <f t="shared" si="20"/>
        <v>0</v>
      </c>
      <c r="O22" s="1034">
        <f t="shared" si="21"/>
        <v>0</v>
      </c>
      <c r="P22" s="991">
        <f t="shared" si="22"/>
        <v>0</v>
      </c>
      <c r="Q22" s="991">
        <f t="shared" si="23"/>
        <v>0</v>
      </c>
      <c r="R22" s="991">
        <f t="shared" si="24"/>
        <v>0</v>
      </c>
      <c r="S22" s="991">
        <f t="shared" si="25"/>
        <v>0</v>
      </c>
    </row>
    <row r="23" spans="1:19" ht="20.100000000000001" customHeight="1">
      <c r="A23" s="1016">
        <v>16</v>
      </c>
      <c r="B23" s="724" t="s">
        <v>65</v>
      </c>
      <c r="C23" s="345"/>
      <c r="D23" s="345"/>
      <c r="E23" s="1019"/>
      <c r="F23" s="1011">
        <f t="shared" si="12"/>
        <v>0</v>
      </c>
      <c r="G23" s="991">
        <f t="shared" si="13"/>
        <v>0</v>
      </c>
      <c r="H23" s="991">
        <f t="shared" si="14"/>
        <v>0</v>
      </c>
      <c r="I23" s="991">
        <f t="shared" si="15"/>
        <v>0</v>
      </c>
      <c r="J23" s="991">
        <f t="shared" si="16"/>
        <v>0</v>
      </c>
      <c r="K23" s="991">
        <f t="shared" si="17"/>
        <v>0</v>
      </c>
      <c r="L23" s="991">
        <f t="shared" si="18"/>
        <v>0</v>
      </c>
      <c r="M23" s="991">
        <f t="shared" si="19"/>
        <v>0</v>
      </c>
      <c r="N23" s="1033">
        <f t="shared" si="20"/>
        <v>0</v>
      </c>
      <c r="O23" s="1034">
        <f t="shared" si="21"/>
        <v>0</v>
      </c>
      <c r="P23" s="991">
        <f t="shared" si="22"/>
        <v>0</v>
      </c>
      <c r="Q23" s="991">
        <f t="shared" si="23"/>
        <v>0</v>
      </c>
      <c r="R23" s="991">
        <f t="shared" si="24"/>
        <v>0</v>
      </c>
      <c r="S23" s="991">
        <f t="shared" si="25"/>
        <v>0</v>
      </c>
    </row>
    <row r="24" spans="1:19" ht="20.100000000000001" customHeight="1">
      <c r="A24" s="1016">
        <v>17</v>
      </c>
      <c r="B24" s="886" t="s">
        <v>68</v>
      </c>
      <c r="C24" s="345"/>
      <c r="D24" s="345"/>
      <c r="E24" s="1019"/>
      <c r="F24" s="1011">
        <f t="shared" si="12"/>
        <v>0</v>
      </c>
      <c r="G24" s="991">
        <f t="shared" si="13"/>
        <v>0</v>
      </c>
      <c r="H24" s="991">
        <f t="shared" si="14"/>
        <v>0</v>
      </c>
      <c r="I24" s="991">
        <f t="shared" si="15"/>
        <v>0</v>
      </c>
      <c r="J24" s="991">
        <f t="shared" si="16"/>
        <v>0</v>
      </c>
      <c r="K24" s="991">
        <f t="shared" si="17"/>
        <v>0</v>
      </c>
      <c r="L24" s="991">
        <f t="shared" si="18"/>
        <v>0</v>
      </c>
      <c r="M24" s="991">
        <f t="shared" si="19"/>
        <v>0</v>
      </c>
      <c r="N24" s="1033">
        <f t="shared" si="20"/>
        <v>0</v>
      </c>
      <c r="O24" s="1034">
        <f t="shared" si="21"/>
        <v>0</v>
      </c>
      <c r="P24" s="991">
        <f t="shared" si="22"/>
        <v>0</v>
      </c>
      <c r="Q24" s="991">
        <f t="shared" si="23"/>
        <v>0</v>
      </c>
      <c r="R24" s="991">
        <f t="shared" si="24"/>
        <v>0</v>
      </c>
      <c r="S24" s="991">
        <f t="shared" si="25"/>
        <v>0</v>
      </c>
    </row>
    <row r="25" spans="1:19" ht="20.100000000000001" customHeight="1">
      <c r="A25" s="1016">
        <v>18</v>
      </c>
      <c r="B25" s="724" t="s">
        <v>71</v>
      </c>
      <c r="C25" s="345"/>
      <c r="D25" s="345"/>
      <c r="E25" s="1019"/>
      <c r="F25" s="1011">
        <f t="shared" si="12"/>
        <v>0</v>
      </c>
      <c r="G25" s="991">
        <f t="shared" si="13"/>
        <v>0</v>
      </c>
      <c r="H25" s="991">
        <f t="shared" si="14"/>
        <v>0</v>
      </c>
      <c r="I25" s="991">
        <f t="shared" si="15"/>
        <v>0</v>
      </c>
      <c r="J25" s="991">
        <f t="shared" si="16"/>
        <v>0</v>
      </c>
      <c r="K25" s="991">
        <f t="shared" si="17"/>
        <v>0</v>
      </c>
      <c r="L25" s="991">
        <f t="shared" si="18"/>
        <v>0</v>
      </c>
      <c r="M25" s="991">
        <f t="shared" si="19"/>
        <v>0</v>
      </c>
      <c r="N25" s="1033">
        <f t="shared" si="20"/>
        <v>0</v>
      </c>
      <c r="O25" s="1034">
        <f t="shared" si="21"/>
        <v>0</v>
      </c>
      <c r="P25" s="991">
        <f t="shared" si="22"/>
        <v>0</v>
      </c>
      <c r="Q25" s="991">
        <f t="shared" si="23"/>
        <v>0</v>
      </c>
      <c r="R25" s="991">
        <f t="shared" si="24"/>
        <v>0</v>
      </c>
      <c r="S25" s="991">
        <f t="shared" si="25"/>
        <v>0</v>
      </c>
    </row>
    <row r="26" spans="1:19" ht="20.100000000000001" customHeight="1">
      <c r="A26" s="1016">
        <v>19</v>
      </c>
      <c r="B26" s="886" t="s">
        <v>73</v>
      </c>
      <c r="C26" s="345"/>
      <c r="D26" s="345"/>
      <c r="E26" s="1019"/>
      <c r="F26" s="1011">
        <f t="shared" si="12"/>
        <v>0</v>
      </c>
      <c r="G26" s="991">
        <f t="shared" si="13"/>
        <v>0</v>
      </c>
      <c r="H26" s="991">
        <f t="shared" si="14"/>
        <v>0</v>
      </c>
      <c r="I26" s="991">
        <f t="shared" si="15"/>
        <v>0</v>
      </c>
      <c r="J26" s="991">
        <f t="shared" si="16"/>
        <v>0</v>
      </c>
      <c r="K26" s="991">
        <f t="shared" si="17"/>
        <v>0</v>
      </c>
      <c r="L26" s="991">
        <f t="shared" si="18"/>
        <v>0</v>
      </c>
      <c r="M26" s="991">
        <f t="shared" si="19"/>
        <v>0</v>
      </c>
      <c r="N26" s="1033">
        <f t="shared" si="20"/>
        <v>0</v>
      </c>
      <c r="O26" s="1034">
        <f t="shared" si="21"/>
        <v>0</v>
      </c>
      <c r="P26" s="991">
        <f t="shared" si="22"/>
        <v>0</v>
      </c>
      <c r="Q26" s="991">
        <f t="shared" si="23"/>
        <v>0</v>
      </c>
      <c r="R26" s="991">
        <f t="shared" si="24"/>
        <v>0</v>
      </c>
      <c r="S26" s="991">
        <f t="shared" si="25"/>
        <v>0</v>
      </c>
    </row>
    <row r="27" spans="1:19" ht="20.100000000000001" customHeight="1">
      <c r="A27" s="1016">
        <v>20</v>
      </c>
      <c r="B27" s="886" t="s">
        <v>76</v>
      </c>
      <c r="C27" s="345"/>
      <c r="D27" s="345"/>
      <c r="E27" s="1019"/>
      <c r="F27" s="1011">
        <f t="shared" si="12"/>
        <v>0</v>
      </c>
      <c r="G27" s="991">
        <f t="shared" si="13"/>
        <v>0</v>
      </c>
      <c r="H27" s="991">
        <f t="shared" si="14"/>
        <v>0</v>
      </c>
      <c r="I27" s="991">
        <f t="shared" si="15"/>
        <v>0</v>
      </c>
      <c r="J27" s="991">
        <f t="shared" si="16"/>
        <v>0</v>
      </c>
      <c r="K27" s="991">
        <f t="shared" si="17"/>
        <v>0</v>
      </c>
      <c r="L27" s="991">
        <f t="shared" si="18"/>
        <v>0</v>
      </c>
      <c r="M27" s="991">
        <f t="shared" si="19"/>
        <v>0</v>
      </c>
      <c r="N27" s="1033">
        <f t="shared" si="20"/>
        <v>0</v>
      </c>
      <c r="O27" s="1034">
        <f t="shared" si="21"/>
        <v>0</v>
      </c>
      <c r="P27" s="991">
        <f t="shared" si="22"/>
        <v>0</v>
      </c>
      <c r="Q27" s="991">
        <f t="shared" si="23"/>
        <v>0</v>
      </c>
      <c r="R27" s="991">
        <f t="shared" si="24"/>
        <v>0</v>
      </c>
      <c r="S27" s="991">
        <f t="shared" si="25"/>
        <v>0</v>
      </c>
    </row>
    <row r="28" spans="1:19" ht="20.100000000000001" customHeight="1">
      <c r="A28" s="1016">
        <v>21</v>
      </c>
      <c r="B28" s="725" t="s">
        <v>483</v>
      </c>
      <c r="C28" s="345"/>
      <c r="D28" s="345"/>
      <c r="E28" s="1019"/>
      <c r="F28" s="1011">
        <f t="shared" si="12"/>
        <v>0</v>
      </c>
      <c r="G28" s="991">
        <f t="shared" si="13"/>
        <v>0</v>
      </c>
      <c r="H28" s="991">
        <f t="shared" si="14"/>
        <v>0</v>
      </c>
      <c r="I28" s="991">
        <f t="shared" si="15"/>
        <v>0</v>
      </c>
      <c r="J28" s="991">
        <f t="shared" si="16"/>
        <v>0</v>
      </c>
      <c r="K28" s="991">
        <f t="shared" si="17"/>
        <v>0</v>
      </c>
      <c r="L28" s="991">
        <f t="shared" si="18"/>
        <v>0</v>
      </c>
      <c r="M28" s="991">
        <f t="shared" si="19"/>
        <v>0</v>
      </c>
      <c r="N28" s="1033">
        <f t="shared" si="20"/>
        <v>0</v>
      </c>
      <c r="O28" s="1034">
        <f t="shared" si="21"/>
        <v>0</v>
      </c>
      <c r="P28" s="991">
        <f t="shared" si="22"/>
        <v>0</v>
      </c>
      <c r="Q28" s="991">
        <f t="shared" si="23"/>
        <v>0</v>
      </c>
      <c r="R28" s="991">
        <f t="shared" si="24"/>
        <v>0</v>
      </c>
      <c r="S28" s="991">
        <f t="shared" si="25"/>
        <v>0</v>
      </c>
    </row>
    <row r="29" spans="1:19" ht="20.100000000000001" customHeight="1">
      <c r="A29" s="1016">
        <v>22</v>
      </c>
      <c r="B29" s="726" t="s">
        <v>79</v>
      </c>
      <c r="C29" s="345"/>
      <c r="D29" s="345"/>
      <c r="E29" s="1019"/>
      <c r="F29" s="1011">
        <f t="shared" si="12"/>
        <v>0</v>
      </c>
      <c r="G29" s="991">
        <f t="shared" si="13"/>
        <v>0</v>
      </c>
      <c r="H29" s="991">
        <f t="shared" si="14"/>
        <v>0</v>
      </c>
      <c r="I29" s="991">
        <f t="shared" si="15"/>
        <v>0</v>
      </c>
      <c r="J29" s="991">
        <f t="shared" si="16"/>
        <v>0</v>
      </c>
      <c r="K29" s="991">
        <f t="shared" si="17"/>
        <v>0</v>
      </c>
      <c r="L29" s="991">
        <f t="shared" si="18"/>
        <v>0</v>
      </c>
      <c r="M29" s="991">
        <f t="shared" si="19"/>
        <v>0</v>
      </c>
      <c r="N29" s="1033">
        <f t="shared" si="20"/>
        <v>0</v>
      </c>
      <c r="O29" s="1034">
        <f t="shared" si="21"/>
        <v>0</v>
      </c>
      <c r="P29" s="991">
        <f t="shared" si="22"/>
        <v>0</v>
      </c>
      <c r="Q29" s="991">
        <f t="shared" si="23"/>
        <v>0</v>
      </c>
      <c r="R29" s="991">
        <f t="shared" si="24"/>
        <v>0</v>
      </c>
      <c r="S29" s="991">
        <f t="shared" si="25"/>
        <v>0</v>
      </c>
    </row>
    <row r="30" spans="1:19" ht="20.100000000000001" customHeight="1">
      <c r="A30" s="1016">
        <v>23</v>
      </c>
      <c r="B30" s="724" t="s">
        <v>82</v>
      </c>
      <c r="C30" s="345"/>
      <c r="D30" s="345"/>
      <c r="E30" s="1019"/>
      <c r="F30" s="1011">
        <f t="shared" si="12"/>
        <v>0</v>
      </c>
      <c r="G30" s="991">
        <f t="shared" si="13"/>
        <v>0</v>
      </c>
      <c r="H30" s="991">
        <f t="shared" si="14"/>
        <v>0</v>
      </c>
      <c r="I30" s="991">
        <f t="shared" si="15"/>
        <v>0</v>
      </c>
      <c r="J30" s="991">
        <f t="shared" si="16"/>
        <v>0</v>
      </c>
      <c r="K30" s="991">
        <f t="shared" si="17"/>
        <v>0</v>
      </c>
      <c r="L30" s="991">
        <f t="shared" si="18"/>
        <v>0</v>
      </c>
      <c r="M30" s="991">
        <f t="shared" si="19"/>
        <v>0</v>
      </c>
      <c r="N30" s="1033">
        <f t="shared" si="20"/>
        <v>0</v>
      </c>
      <c r="O30" s="1034">
        <f t="shared" si="21"/>
        <v>0</v>
      </c>
      <c r="P30" s="991">
        <f t="shared" si="22"/>
        <v>0</v>
      </c>
      <c r="Q30" s="991">
        <f t="shared" si="23"/>
        <v>0</v>
      </c>
      <c r="R30" s="991">
        <f t="shared" si="24"/>
        <v>0</v>
      </c>
      <c r="S30" s="991">
        <f t="shared" si="25"/>
        <v>0</v>
      </c>
    </row>
    <row r="31" spans="1:19" ht="20.100000000000001" customHeight="1">
      <c r="A31" s="1016">
        <v>24</v>
      </c>
      <c r="B31" s="726" t="s">
        <v>84</v>
      </c>
      <c r="C31" s="345"/>
      <c r="D31" s="345"/>
      <c r="E31" s="1019"/>
      <c r="F31" s="1011">
        <f t="shared" si="12"/>
        <v>0</v>
      </c>
      <c r="G31" s="991">
        <f t="shared" si="13"/>
        <v>0</v>
      </c>
      <c r="H31" s="991">
        <f t="shared" si="14"/>
        <v>0</v>
      </c>
      <c r="I31" s="991">
        <f t="shared" si="15"/>
        <v>0</v>
      </c>
      <c r="J31" s="991">
        <f t="shared" si="16"/>
        <v>0</v>
      </c>
      <c r="K31" s="991">
        <f t="shared" si="17"/>
        <v>0</v>
      </c>
      <c r="L31" s="991">
        <f t="shared" si="18"/>
        <v>0</v>
      </c>
      <c r="M31" s="991">
        <f t="shared" si="19"/>
        <v>0</v>
      </c>
      <c r="N31" s="1033">
        <f t="shared" si="20"/>
        <v>0</v>
      </c>
      <c r="O31" s="1034">
        <f t="shared" si="21"/>
        <v>0</v>
      </c>
      <c r="P31" s="991">
        <f t="shared" si="22"/>
        <v>0</v>
      </c>
      <c r="Q31" s="991">
        <f t="shared" si="23"/>
        <v>0</v>
      </c>
      <c r="R31" s="991">
        <f t="shared" si="24"/>
        <v>0</v>
      </c>
      <c r="S31" s="991">
        <f t="shared" si="25"/>
        <v>0</v>
      </c>
    </row>
    <row r="32" spans="1:19" ht="20.100000000000001" customHeight="1">
      <c r="A32" s="1016">
        <v>25</v>
      </c>
      <c r="B32" s="726" t="s">
        <v>87</v>
      </c>
      <c r="C32" s="345"/>
      <c r="D32" s="345"/>
      <c r="E32" s="1019"/>
      <c r="F32" s="1011">
        <f t="shared" si="12"/>
        <v>0</v>
      </c>
      <c r="G32" s="991">
        <f t="shared" si="13"/>
        <v>0</v>
      </c>
      <c r="H32" s="991">
        <f t="shared" si="14"/>
        <v>0</v>
      </c>
      <c r="I32" s="991">
        <f t="shared" si="15"/>
        <v>0</v>
      </c>
      <c r="J32" s="991">
        <f t="shared" si="16"/>
        <v>0</v>
      </c>
      <c r="K32" s="991">
        <f t="shared" si="17"/>
        <v>0</v>
      </c>
      <c r="L32" s="991">
        <f t="shared" si="18"/>
        <v>0</v>
      </c>
      <c r="M32" s="991">
        <f t="shared" si="19"/>
        <v>0</v>
      </c>
      <c r="N32" s="1033">
        <f t="shared" si="20"/>
        <v>0</v>
      </c>
      <c r="O32" s="1034">
        <f t="shared" si="21"/>
        <v>0</v>
      </c>
      <c r="P32" s="991">
        <f t="shared" si="22"/>
        <v>0</v>
      </c>
      <c r="Q32" s="991">
        <f t="shared" si="23"/>
        <v>0</v>
      </c>
      <c r="R32" s="991">
        <f t="shared" si="24"/>
        <v>0</v>
      </c>
      <c r="S32" s="991">
        <f t="shared" si="25"/>
        <v>0</v>
      </c>
    </row>
    <row r="33" spans="1:19" ht="20.100000000000001" customHeight="1">
      <c r="A33" s="1016">
        <v>26</v>
      </c>
      <c r="B33" s="726" t="s">
        <v>89</v>
      </c>
      <c r="C33" s="345"/>
      <c r="D33" s="345"/>
      <c r="E33" s="1019"/>
      <c r="F33" s="1011">
        <f t="shared" si="12"/>
        <v>0</v>
      </c>
      <c r="G33" s="991">
        <f t="shared" si="13"/>
        <v>0</v>
      </c>
      <c r="H33" s="991">
        <f t="shared" si="14"/>
        <v>0</v>
      </c>
      <c r="I33" s="991">
        <f t="shared" si="15"/>
        <v>0</v>
      </c>
      <c r="J33" s="991">
        <f t="shared" si="16"/>
        <v>0</v>
      </c>
      <c r="K33" s="991">
        <f t="shared" si="17"/>
        <v>0</v>
      </c>
      <c r="L33" s="991">
        <f t="shared" si="18"/>
        <v>0</v>
      </c>
      <c r="M33" s="991">
        <f t="shared" si="19"/>
        <v>0</v>
      </c>
      <c r="N33" s="1033">
        <f t="shared" si="20"/>
        <v>0</v>
      </c>
      <c r="O33" s="1034">
        <f t="shared" si="21"/>
        <v>0</v>
      </c>
      <c r="P33" s="991">
        <f t="shared" si="22"/>
        <v>0</v>
      </c>
      <c r="Q33" s="991">
        <f t="shared" si="23"/>
        <v>0</v>
      </c>
      <c r="R33" s="991">
        <f t="shared" si="24"/>
        <v>0</v>
      </c>
      <c r="S33" s="991">
        <f t="shared" si="25"/>
        <v>0</v>
      </c>
    </row>
    <row r="34" spans="1:19" ht="20.100000000000001" customHeight="1">
      <c r="A34" s="1016">
        <v>27</v>
      </c>
      <c r="B34" s="726" t="s">
        <v>91</v>
      </c>
      <c r="C34" s="345"/>
      <c r="D34" s="345"/>
      <c r="E34" s="1019"/>
      <c r="F34" s="1011">
        <f t="shared" si="12"/>
        <v>0</v>
      </c>
      <c r="G34" s="991">
        <f t="shared" si="13"/>
        <v>0</v>
      </c>
      <c r="H34" s="991">
        <f t="shared" si="14"/>
        <v>0</v>
      </c>
      <c r="I34" s="991">
        <f t="shared" si="15"/>
        <v>0</v>
      </c>
      <c r="J34" s="991">
        <f t="shared" si="16"/>
        <v>0</v>
      </c>
      <c r="K34" s="991">
        <f t="shared" si="17"/>
        <v>0</v>
      </c>
      <c r="L34" s="991">
        <f t="shared" si="18"/>
        <v>0</v>
      </c>
      <c r="M34" s="991">
        <f t="shared" si="19"/>
        <v>0</v>
      </c>
      <c r="N34" s="1033">
        <f t="shared" si="20"/>
        <v>0</v>
      </c>
      <c r="O34" s="1034">
        <f t="shared" si="21"/>
        <v>0</v>
      </c>
      <c r="P34" s="991">
        <f t="shared" si="22"/>
        <v>0</v>
      </c>
      <c r="Q34" s="991">
        <f t="shared" si="23"/>
        <v>0</v>
      </c>
      <c r="R34" s="991">
        <f t="shared" si="24"/>
        <v>0</v>
      </c>
      <c r="S34" s="991">
        <f t="shared" si="25"/>
        <v>0</v>
      </c>
    </row>
    <row r="35" spans="1:19" ht="20.100000000000001" customHeight="1">
      <c r="A35" s="1016">
        <v>28</v>
      </c>
      <c r="B35" s="726" t="s">
        <v>93</v>
      </c>
      <c r="C35" s="345"/>
      <c r="D35" s="345"/>
      <c r="E35" s="1019"/>
      <c r="F35" s="1011">
        <f t="shared" si="12"/>
        <v>0</v>
      </c>
      <c r="G35" s="991">
        <f t="shared" si="13"/>
        <v>0</v>
      </c>
      <c r="H35" s="991">
        <f t="shared" si="14"/>
        <v>0</v>
      </c>
      <c r="I35" s="991">
        <f t="shared" si="15"/>
        <v>0</v>
      </c>
      <c r="J35" s="991">
        <f t="shared" si="16"/>
        <v>0</v>
      </c>
      <c r="K35" s="991">
        <f t="shared" si="17"/>
        <v>0</v>
      </c>
      <c r="L35" s="991">
        <f t="shared" si="18"/>
        <v>0</v>
      </c>
      <c r="M35" s="991">
        <f t="shared" si="19"/>
        <v>0</v>
      </c>
      <c r="N35" s="1033">
        <f t="shared" si="20"/>
        <v>0</v>
      </c>
      <c r="O35" s="1034">
        <f t="shared" si="21"/>
        <v>0</v>
      </c>
      <c r="P35" s="991">
        <f t="shared" si="22"/>
        <v>0</v>
      </c>
      <c r="Q35" s="991">
        <f t="shared" si="23"/>
        <v>0</v>
      </c>
      <c r="R35" s="991">
        <f t="shared" si="24"/>
        <v>0</v>
      </c>
      <c r="S35" s="991">
        <f t="shared" si="25"/>
        <v>0</v>
      </c>
    </row>
    <row r="36" spans="1:19" ht="20.100000000000001" customHeight="1">
      <c r="A36" s="1016">
        <v>29</v>
      </c>
      <c r="B36" s="726" t="s">
        <v>95</v>
      </c>
      <c r="C36" s="345"/>
      <c r="D36" s="345"/>
      <c r="E36" s="1019"/>
      <c r="F36" s="1011">
        <f t="shared" si="12"/>
        <v>0</v>
      </c>
      <c r="G36" s="991">
        <f t="shared" si="13"/>
        <v>0</v>
      </c>
      <c r="H36" s="991">
        <f t="shared" si="14"/>
        <v>0</v>
      </c>
      <c r="I36" s="991">
        <f t="shared" si="15"/>
        <v>0</v>
      </c>
      <c r="J36" s="991">
        <f t="shared" si="16"/>
        <v>0</v>
      </c>
      <c r="K36" s="991">
        <f t="shared" si="17"/>
        <v>0</v>
      </c>
      <c r="L36" s="991">
        <f t="shared" si="18"/>
        <v>0</v>
      </c>
      <c r="M36" s="991">
        <f t="shared" si="19"/>
        <v>0</v>
      </c>
      <c r="N36" s="1033">
        <f t="shared" si="20"/>
        <v>0</v>
      </c>
      <c r="O36" s="1034">
        <f t="shared" si="21"/>
        <v>0</v>
      </c>
      <c r="P36" s="991">
        <f t="shared" si="22"/>
        <v>0</v>
      </c>
      <c r="Q36" s="991">
        <f t="shared" si="23"/>
        <v>0</v>
      </c>
      <c r="R36" s="991">
        <f t="shared" si="24"/>
        <v>0</v>
      </c>
      <c r="S36" s="991">
        <f t="shared" si="25"/>
        <v>0</v>
      </c>
    </row>
    <row r="37" spans="1:19" ht="20.100000000000001" customHeight="1">
      <c r="A37" s="1016">
        <v>30</v>
      </c>
      <c r="B37" s="726" t="s">
        <v>97</v>
      </c>
      <c r="C37" s="345"/>
      <c r="D37" s="345"/>
      <c r="E37" s="1019"/>
      <c r="F37" s="1011">
        <f t="shared" si="12"/>
        <v>0</v>
      </c>
      <c r="G37" s="991">
        <f t="shared" si="13"/>
        <v>0</v>
      </c>
      <c r="H37" s="991">
        <f t="shared" si="14"/>
        <v>0</v>
      </c>
      <c r="I37" s="991">
        <f t="shared" si="15"/>
        <v>0</v>
      </c>
      <c r="J37" s="991">
        <f t="shared" si="16"/>
        <v>0</v>
      </c>
      <c r="K37" s="991">
        <f t="shared" si="17"/>
        <v>0</v>
      </c>
      <c r="L37" s="991">
        <f t="shared" si="18"/>
        <v>0</v>
      </c>
      <c r="M37" s="991">
        <f t="shared" si="19"/>
        <v>0</v>
      </c>
      <c r="N37" s="1033">
        <f t="shared" si="20"/>
        <v>0</v>
      </c>
      <c r="O37" s="1034">
        <f t="shared" si="21"/>
        <v>0</v>
      </c>
      <c r="P37" s="991">
        <f t="shared" si="22"/>
        <v>0</v>
      </c>
      <c r="Q37" s="991">
        <f t="shared" si="23"/>
        <v>0</v>
      </c>
      <c r="R37" s="991">
        <f t="shared" si="24"/>
        <v>0</v>
      </c>
      <c r="S37" s="991">
        <f t="shared" si="25"/>
        <v>0</v>
      </c>
    </row>
    <row r="38" spans="1:19" ht="20.100000000000001" customHeight="1">
      <c r="A38" s="1016">
        <v>31</v>
      </c>
      <c r="B38" s="726" t="s">
        <v>100</v>
      </c>
      <c r="C38" s="345"/>
      <c r="D38" s="345"/>
      <c r="E38" s="1019"/>
      <c r="F38" s="1011">
        <f t="shared" si="12"/>
        <v>0</v>
      </c>
      <c r="G38" s="991">
        <f t="shared" si="13"/>
        <v>0</v>
      </c>
      <c r="H38" s="991">
        <f t="shared" si="14"/>
        <v>0</v>
      </c>
      <c r="I38" s="991">
        <f t="shared" si="15"/>
        <v>0</v>
      </c>
      <c r="J38" s="991">
        <f t="shared" si="16"/>
        <v>0</v>
      </c>
      <c r="K38" s="991">
        <f t="shared" si="17"/>
        <v>0</v>
      </c>
      <c r="L38" s="991">
        <f t="shared" si="18"/>
        <v>0</v>
      </c>
      <c r="M38" s="991">
        <f t="shared" si="19"/>
        <v>0</v>
      </c>
      <c r="N38" s="1033">
        <f t="shared" si="20"/>
        <v>0</v>
      </c>
      <c r="O38" s="1034">
        <f t="shared" si="21"/>
        <v>0</v>
      </c>
      <c r="P38" s="991">
        <f t="shared" si="22"/>
        <v>0</v>
      </c>
      <c r="Q38" s="991">
        <f t="shared" si="23"/>
        <v>0</v>
      </c>
      <c r="R38" s="991">
        <f t="shared" si="24"/>
        <v>0</v>
      </c>
      <c r="S38" s="991">
        <f t="shared" si="25"/>
        <v>0</v>
      </c>
    </row>
    <row r="39" spans="1:19" ht="20.100000000000001" customHeight="1">
      <c r="A39" s="1016">
        <v>32</v>
      </c>
      <c r="B39" s="726" t="s">
        <v>101</v>
      </c>
      <c r="C39" s="345"/>
      <c r="D39" s="345"/>
      <c r="E39" s="1019"/>
      <c r="F39" s="1011">
        <f t="shared" si="12"/>
        <v>0</v>
      </c>
      <c r="G39" s="991">
        <f t="shared" si="13"/>
        <v>0</v>
      </c>
      <c r="H39" s="991">
        <f t="shared" si="14"/>
        <v>0</v>
      </c>
      <c r="I39" s="991">
        <f t="shared" si="15"/>
        <v>0</v>
      </c>
      <c r="J39" s="991">
        <f t="shared" si="16"/>
        <v>0</v>
      </c>
      <c r="K39" s="991">
        <f t="shared" si="17"/>
        <v>0</v>
      </c>
      <c r="L39" s="991">
        <f t="shared" si="18"/>
        <v>0</v>
      </c>
      <c r="M39" s="991">
        <f t="shared" si="19"/>
        <v>0</v>
      </c>
      <c r="N39" s="1033">
        <f t="shared" si="20"/>
        <v>0</v>
      </c>
      <c r="O39" s="1034">
        <f t="shared" si="21"/>
        <v>0</v>
      </c>
      <c r="P39" s="991">
        <f t="shared" si="22"/>
        <v>0</v>
      </c>
      <c r="Q39" s="991">
        <f t="shared" si="23"/>
        <v>0</v>
      </c>
      <c r="R39" s="991">
        <f t="shared" si="24"/>
        <v>0</v>
      </c>
      <c r="S39" s="991">
        <f t="shared" si="25"/>
        <v>0</v>
      </c>
    </row>
    <row r="40" spans="1:19" ht="20.100000000000001" customHeight="1">
      <c r="A40" s="1016">
        <v>33</v>
      </c>
      <c r="B40" s="726" t="s">
        <v>102</v>
      </c>
      <c r="C40" s="345"/>
      <c r="D40" s="345"/>
      <c r="E40" s="1019"/>
      <c r="F40" s="1011">
        <f t="shared" si="12"/>
        <v>0</v>
      </c>
      <c r="G40" s="991">
        <f t="shared" si="13"/>
        <v>0</v>
      </c>
      <c r="H40" s="991">
        <f t="shared" si="14"/>
        <v>0</v>
      </c>
      <c r="I40" s="991">
        <f t="shared" si="15"/>
        <v>0</v>
      </c>
      <c r="J40" s="991">
        <f t="shared" si="16"/>
        <v>0</v>
      </c>
      <c r="K40" s="991">
        <f t="shared" si="17"/>
        <v>0</v>
      </c>
      <c r="L40" s="991">
        <f t="shared" si="18"/>
        <v>0</v>
      </c>
      <c r="M40" s="991">
        <f t="shared" si="19"/>
        <v>0</v>
      </c>
      <c r="N40" s="1033">
        <f t="shared" si="20"/>
        <v>0</v>
      </c>
      <c r="O40" s="1034">
        <f t="shared" si="21"/>
        <v>0</v>
      </c>
      <c r="P40" s="991">
        <f t="shared" si="22"/>
        <v>0</v>
      </c>
      <c r="Q40" s="991">
        <f t="shared" si="23"/>
        <v>0</v>
      </c>
      <c r="R40" s="991">
        <f t="shared" si="24"/>
        <v>0</v>
      </c>
      <c r="S40" s="991">
        <f t="shared" si="25"/>
        <v>0</v>
      </c>
    </row>
    <row r="41" spans="1:19" ht="20.100000000000001" customHeight="1">
      <c r="A41" s="1016">
        <v>34</v>
      </c>
      <c r="B41" s="726" t="s">
        <v>103</v>
      </c>
      <c r="C41" s="345"/>
      <c r="D41" s="345"/>
      <c r="E41" s="1019"/>
      <c r="F41" s="1011">
        <f t="shared" si="12"/>
        <v>0</v>
      </c>
      <c r="G41" s="991">
        <f t="shared" si="13"/>
        <v>0</v>
      </c>
      <c r="H41" s="991">
        <f t="shared" si="14"/>
        <v>0</v>
      </c>
      <c r="I41" s="991">
        <f t="shared" si="15"/>
        <v>0</v>
      </c>
      <c r="J41" s="991">
        <f t="shared" si="16"/>
        <v>0</v>
      </c>
      <c r="K41" s="991">
        <f t="shared" si="17"/>
        <v>0</v>
      </c>
      <c r="L41" s="991">
        <f t="shared" si="18"/>
        <v>0</v>
      </c>
      <c r="M41" s="991">
        <f t="shared" si="19"/>
        <v>0</v>
      </c>
      <c r="N41" s="1033">
        <f t="shared" si="20"/>
        <v>0</v>
      </c>
      <c r="O41" s="1034">
        <f t="shared" si="21"/>
        <v>0</v>
      </c>
      <c r="P41" s="991">
        <f t="shared" si="22"/>
        <v>0</v>
      </c>
      <c r="Q41" s="991">
        <f t="shared" si="23"/>
        <v>0</v>
      </c>
      <c r="R41" s="991">
        <f t="shared" si="24"/>
        <v>0</v>
      </c>
      <c r="S41" s="991">
        <f t="shared" si="25"/>
        <v>0</v>
      </c>
    </row>
    <row r="42" spans="1:19" ht="20.100000000000001" customHeight="1">
      <c r="A42" s="1016">
        <v>35</v>
      </c>
      <c r="B42" s="726" t="s">
        <v>106</v>
      </c>
      <c r="C42" s="345"/>
      <c r="D42" s="345"/>
      <c r="E42" s="1019"/>
      <c r="F42" s="1011">
        <f t="shared" si="12"/>
        <v>0</v>
      </c>
      <c r="G42" s="991">
        <f t="shared" si="13"/>
        <v>0</v>
      </c>
      <c r="H42" s="991">
        <f t="shared" si="14"/>
        <v>0</v>
      </c>
      <c r="I42" s="991">
        <f t="shared" si="15"/>
        <v>0</v>
      </c>
      <c r="J42" s="991">
        <f t="shared" si="16"/>
        <v>0</v>
      </c>
      <c r="K42" s="991">
        <f t="shared" si="17"/>
        <v>0</v>
      </c>
      <c r="L42" s="991">
        <f t="shared" si="18"/>
        <v>0</v>
      </c>
      <c r="M42" s="991">
        <f t="shared" si="19"/>
        <v>0</v>
      </c>
      <c r="N42" s="1033">
        <f t="shared" si="20"/>
        <v>0</v>
      </c>
      <c r="O42" s="1034">
        <f t="shared" si="21"/>
        <v>0</v>
      </c>
      <c r="P42" s="991">
        <f t="shared" si="22"/>
        <v>0</v>
      </c>
      <c r="Q42" s="991">
        <f t="shared" si="23"/>
        <v>0</v>
      </c>
      <c r="R42" s="991">
        <f t="shared" si="24"/>
        <v>0</v>
      </c>
      <c r="S42" s="991">
        <f t="shared" si="25"/>
        <v>0</v>
      </c>
    </row>
    <row r="43" spans="1:19" ht="20.100000000000001" customHeight="1">
      <c r="A43" s="1016">
        <v>36</v>
      </c>
      <c r="B43" s="726" t="s">
        <v>109</v>
      </c>
      <c r="C43" s="345"/>
      <c r="D43" s="345"/>
      <c r="E43" s="1019"/>
      <c r="F43" s="1011">
        <f t="shared" si="12"/>
        <v>0</v>
      </c>
      <c r="G43" s="991">
        <f t="shared" si="13"/>
        <v>0</v>
      </c>
      <c r="H43" s="991">
        <f t="shared" si="14"/>
        <v>0</v>
      </c>
      <c r="I43" s="991">
        <f t="shared" si="15"/>
        <v>0</v>
      </c>
      <c r="J43" s="991">
        <f t="shared" si="16"/>
        <v>0</v>
      </c>
      <c r="K43" s="991">
        <f t="shared" si="17"/>
        <v>0</v>
      </c>
      <c r="L43" s="991">
        <f t="shared" si="18"/>
        <v>0</v>
      </c>
      <c r="M43" s="991">
        <f t="shared" si="19"/>
        <v>0</v>
      </c>
      <c r="N43" s="1033">
        <f t="shared" si="20"/>
        <v>0</v>
      </c>
      <c r="O43" s="1034">
        <f t="shared" si="21"/>
        <v>0</v>
      </c>
      <c r="P43" s="991">
        <f t="shared" si="22"/>
        <v>0</v>
      </c>
      <c r="Q43" s="991">
        <f t="shared" si="23"/>
        <v>0</v>
      </c>
      <c r="R43" s="991">
        <f t="shared" si="24"/>
        <v>0</v>
      </c>
      <c r="S43" s="991">
        <f t="shared" si="25"/>
        <v>0</v>
      </c>
    </row>
    <row r="44" spans="1:19" ht="20.100000000000001" customHeight="1">
      <c r="A44" s="1016">
        <v>37</v>
      </c>
      <c r="B44" s="726" t="s">
        <v>112</v>
      </c>
      <c r="C44" s="345"/>
      <c r="D44" s="345"/>
      <c r="E44" s="1019"/>
      <c r="F44" s="1011">
        <f t="shared" si="12"/>
        <v>0</v>
      </c>
      <c r="G44" s="991">
        <f t="shared" si="13"/>
        <v>0</v>
      </c>
      <c r="H44" s="991">
        <f t="shared" si="14"/>
        <v>0</v>
      </c>
      <c r="I44" s="991">
        <f t="shared" si="15"/>
        <v>0</v>
      </c>
      <c r="J44" s="991">
        <f t="shared" si="16"/>
        <v>0</v>
      </c>
      <c r="K44" s="991">
        <f t="shared" si="17"/>
        <v>0</v>
      </c>
      <c r="L44" s="991">
        <f t="shared" si="18"/>
        <v>0</v>
      </c>
      <c r="M44" s="991">
        <f t="shared" si="19"/>
        <v>0</v>
      </c>
      <c r="N44" s="1033">
        <f t="shared" si="20"/>
        <v>0</v>
      </c>
      <c r="O44" s="1034">
        <f t="shared" si="21"/>
        <v>0</v>
      </c>
      <c r="P44" s="991">
        <f t="shared" si="22"/>
        <v>0</v>
      </c>
      <c r="Q44" s="991">
        <f t="shared" si="23"/>
        <v>0</v>
      </c>
      <c r="R44" s="991">
        <f t="shared" si="24"/>
        <v>0</v>
      </c>
      <c r="S44" s="991">
        <f t="shared" si="25"/>
        <v>0</v>
      </c>
    </row>
    <row r="45" spans="1:19" ht="20.100000000000001" customHeight="1">
      <c r="A45" s="1016">
        <v>38</v>
      </c>
      <c r="B45" s="726" t="s">
        <v>114</v>
      </c>
      <c r="C45" s="345"/>
      <c r="D45" s="345"/>
      <c r="E45" s="1019"/>
      <c r="F45" s="1011">
        <f t="shared" si="12"/>
        <v>0</v>
      </c>
      <c r="G45" s="991">
        <f t="shared" si="13"/>
        <v>0</v>
      </c>
      <c r="H45" s="991">
        <f t="shared" si="14"/>
        <v>0</v>
      </c>
      <c r="I45" s="991">
        <f t="shared" si="15"/>
        <v>0</v>
      </c>
      <c r="J45" s="991">
        <f t="shared" si="16"/>
        <v>0</v>
      </c>
      <c r="K45" s="991">
        <f t="shared" si="17"/>
        <v>0</v>
      </c>
      <c r="L45" s="991">
        <f t="shared" si="18"/>
        <v>0</v>
      </c>
      <c r="M45" s="991">
        <f t="shared" si="19"/>
        <v>0</v>
      </c>
      <c r="N45" s="1033">
        <f t="shared" si="20"/>
        <v>0</v>
      </c>
      <c r="O45" s="1034">
        <f t="shared" si="21"/>
        <v>0</v>
      </c>
      <c r="P45" s="991">
        <f t="shared" si="22"/>
        <v>0</v>
      </c>
      <c r="Q45" s="991">
        <f t="shared" si="23"/>
        <v>0</v>
      </c>
      <c r="R45" s="991">
        <f t="shared" si="24"/>
        <v>0</v>
      </c>
      <c r="S45" s="991">
        <f t="shared" si="25"/>
        <v>0</v>
      </c>
    </row>
    <row r="46" spans="1:19" ht="20.100000000000001" customHeight="1">
      <c r="A46" s="1016">
        <v>39</v>
      </c>
      <c r="B46" s="726" t="s">
        <v>115</v>
      </c>
      <c r="C46" s="345"/>
      <c r="D46" s="345"/>
      <c r="E46" s="1019"/>
      <c r="F46" s="1011">
        <f t="shared" si="12"/>
        <v>0</v>
      </c>
      <c r="G46" s="991">
        <f t="shared" si="13"/>
        <v>0</v>
      </c>
      <c r="H46" s="991">
        <f t="shared" si="14"/>
        <v>0</v>
      </c>
      <c r="I46" s="991">
        <f t="shared" si="15"/>
        <v>0</v>
      </c>
      <c r="J46" s="991">
        <f t="shared" si="16"/>
        <v>0</v>
      </c>
      <c r="K46" s="991">
        <f t="shared" si="17"/>
        <v>0</v>
      </c>
      <c r="L46" s="991">
        <f t="shared" si="18"/>
        <v>0</v>
      </c>
      <c r="M46" s="991">
        <f t="shared" si="19"/>
        <v>0</v>
      </c>
      <c r="N46" s="1033">
        <f t="shared" si="20"/>
        <v>0</v>
      </c>
      <c r="O46" s="1034">
        <f t="shared" si="21"/>
        <v>0</v>
      </c>
      <c r="P46" s="991">
        <f t="shared" si="22"/>
        <v>0</v>
      </c>
      <c r="Q46" s="991">
        <f t="shared" si="23"/>
        <v>0</v>
      </c>
      <c r="R46" s="991">
        <f t="shared" si="24"/>
        <v>0</v>
      </c>
      <c r="S46" s="991">
        <f t="shared" si="25"/>
        <v>0</v>
      </c>
    </row>
    <row r="47" spans="1:19" ht="20.100000000000001" customHeight="1">
      <c r="A47" s="1016">
        <v>40</v>
      </c>
      <c r="B47" s="726" t="s">
        <v>117</v>
      </c>
      <c r="C47" s="345"/>
      <c r="D47" s="345"/>
      <c r="E47" s="1019"/>
      <c r="F47" s="1011">
        <f t="shared" si="12"/>
        <v>0</v>
      </c>
      <c r="G47" s="991">
        <f t="shared" si="13"/>
        <v>0</v>
      </c>
      <c r="H47" s="991">
        <f t="shared" si="14"/>
        <v>0</v>
      </c>
      <c r="I47" s="991">
        <f t="shared" si="15"/>
        <v>0</v>
      </c>
      <c r="J47" s="991">
        <f t="shared" si="16"/>
        <v>0</v>
      </c>
      <c r="K47" s="991">
        <f t="shared" si="17"/>
        <v>0</v>
      </c>
      <c r="L47" s="991">
        <f t="shared" si="18"/>
        <v>0</v>
      </c>
      <c r="M47" s="991">
        <f t="shared" si="19"/>
        <v>0</v>
      </c>
      <c r="N47" s="1033">
        <f t="shared" si="20"/>
        <v>0</v>
      </c>
      <c r="O47" s="1034">
        <f t="shared" si="21"/>
        <v>0</v>
      </c>
      <c r="P47" s="991">
        <f t="shared" si="22"/>
        <v>0</v>
      </c>
      <c r="Q47" s="991">
        <f t="shared" si="23"/>
        <v>0</v>
      </c>
      <c r="R47" s="991">
        <f t="shared" si="24"/>
        <v>0</v>
      </c>
      <c r="S47" s="991">
        <f t="shared" si="25"/>
        <v>0</v>
      </c>
    </row>
    <row r="48" spans="1:19" ht="20.100000000000001" customHeight="1">
      <c r="A48" s="1020">
        <v>41</v>
      </c>
      <c r="B48" s="1021" t="s">
        <v>118</v>
      </c>
      <c r="C48" s="1022"/>
      <c r="D48" s="1022"/>
      <c r="E48" s="1023"/>
      <c r="F48" s="1024">
        <f t="shared" si="12"/>
        <v>0</v>
      </c>
      <c r="G48" s="991">
        <f t="shared" si="13"/>
        <v>0</v>
      </c>
      <c r="H48" s="991">
        <f t="shared" si="14"/>
        <v>0</v>
      </c>
      <c r="I48" s="991">
        <f t="shared" si="15"/>
        <v>0</v>
      </c>
      <c r="J48" s="991">
        <f t="shared" si="16"/>
        <v>0</v>
      </c>
      <c r="K48" s="991">
        <f t="shared" si="17"/>
        <v>0</v>
      </c>
      <c r="L48" s="991">
        <f t="shared" si="18"/>
        <v>0</v>
      </c>
      <c r="M48" s="991">
        <f t="shared" si="19"/>
        <v>0</v>
      </c>
      <c r="N48" s="1033">
        <f t="shared" si="20"/>
        <v>0</v>
      </c>
      <c r="O48" s="1034">
        <f t="shared" si="21"/>
        <v>0</v>
      </c>
      <c r="P48" s="991">
        <f t="shared" si="22"/>
        <v>0</v>
      </c>
      <c r="Q48" s="991">
        <f t="shared" si="23"/>
        <v>0</v>
      </c>
      <c r="R48" s="991">
        <f t="shared" si="24"/>
        <v>0</v>
      </c>
      <c r="S48" s="991">
        <f t="shared" si="25"/>
        <v>0</v>
      </c>
    </row>
    <row r="49" spans="1:19" ht="20.100000000000001" customHeight="1">
      <c r="A49" s="345"/>
      <c r="B49" s="1025"/>
      <c r="C49" s="345"/>
      <c r="D49" s="345"/>
      <c r="E49" s="345"/>
      <c r="F49" s="1026"/>
      <c r="G49" s="991"/>
      <c r="H49" s="991"/>
      <c r="I49" s="991"/>
      <c r="J49" s="991"/>
      <c r="K49" s="991"/>
      <c r="L49" s="991"/>
      <c r="M49" s="991"/>
      <c r="N49" s="1033"/>
      <c r="O49" s="1034"/>
      <c r="P49" s="991"/>
      <c r="Q49" s="991"/>
      <c r="R49" s="991"/>
      <c r="S49" s="991"/>
    </row>
    <row r="50" spans="1:19" ht="20.100000000000001" customHeight="1">
      <c r="A50" s="421"/>
      <c r="B50" s="812" t="s">
        <v>121</v>
      </c>
    </row>
    <row r="51" spans="1:19" ht="20.100000000000001" customHeight="1">
      <c r="A51" s="421">
        <v>1</v>
      </c>
      <c r="B51" s="726" t="s">
        <v>122</v>
      </c>
    </row>
    <row r="52" spans="1:19" ht="20.100000000000001" customHeight="1">
      <c r="A52" s="421">
        <v>2</v>
      </c>
      <c r="B52" s="724" t="s">
        <v>125</v>
      </c>
    </row>
    <row r="53" spans="1:19" ht="20.100000000000001" customHeight="1">
      <c r="A53" s="421">
        <v>3</v>
      </c>
      <c r="B53" s="724" t="s">
        <v>127</v>
      </c>
    </row>
    <row r="54" spans="1:19" ht="20.100000000000001" customHeight="1">
      <c r="A54" s="421">
        <v>4</v>
      </c>
      <c r="B54" s="724" t="s">
        <v>129</v>
      </c>
    </row>
    <row r="55" spans="1:19" ht="20.100000000000001" customHeight="1">
      <c r="A55" s="421">
        <v>5</v>
      </c>
      <c r="B55" s="724" t="s">
        <v>132</v>
      </c>
    </row>
    <row r="56" spans="1:19" ht="20.100000000000001" customHeight="1">
      <c r="A56" s="421">
        <v>6</v>
      </c>
      <c r="B56" s="724" t="s">
        <v>133</v>
      </c>
    </row>
    <row r="57" spans="1:19" ht="20.100000000000001" customHeight="1">
      <c r="A57" s="421">
        <v>7</v>
      </c>
      <c r="B57" s="724" t="s">
        <v>135</v>
      </c>
    </row>
    <row r="58" spans="1:19" ht="20.100000000000001" customHeight="1">
      <c r="A58" s="421"/>
      <c r="B58" s="1025"/>
    </row>
    <row r="59" spans="1:19" ht="20.100000000000001" customHeight="1">
      <c r="A59" s="421"/>
      <c r="B59" s="809" t="s">
        <v>137</v>
      </c>
    </row>
    <row r="60" spans="1:19" ht="20.100000000000001" customHeight="1">
      <c r="A60" s="1027">
        <v>1</v>
      </c>
      <c r="B60" s="724" t="s">
        <v>138</v>
      </c>
    </row>
    <row r="61" spans="1:19" ht="20.100000000000001" customHeight="1">
      <c r="A61" s="1027">
        <v>2</v>
      </c>
      <c r="B61" s="724" t="s">
        <v>141</v>
      </c>
    </row>
    <row r="62" spans="1:19" ht="20.100000000000001" customHeight="1">
      <c r="A62" s="1027">
        <v>3</v>
      </c>
      <c r="B62" s="724" t="s">
        <v>143</v>
      </c>
    </row>
    <row r="63" spans="1:19" ht="20.100000000000001" customHeight="1">
      <c r="A63" s="1027">
        <v>4</v>
      </c>
      <c r="B63" s="724" t="s">
        <v>144</v>
      </c>
    </row>
    <row r="64" spans="1:19" ht="20.100000000000001" customHeight="1">
      <c r="A64" s="1027">
        <v>5</v>
      </c>
      <c r="B64" s="724" t="s">
        <v>145</v>
      </c>
    </row>
    <row r="65" spans="1:2" ht="20.100000000000001" customHeight="1">
      <c r="A65" s="1027">
        <v>6</v>
      </c>
      <c r="B65" s="886" t="s">
        <v>146</v>
      </c>
    </row>
    <row r="66" spans="1:2" ht="20.100000000000001" customHeight="1">
      <c r="A66" s="1027">
        <v>7</v>
      </c>
      <c r="B66" s="724" t="s">
        <v>147</v>
      </c>
    </row>
    <row r="67" spans="1:2" ht="20.100000000000001" customHeight="1">
      <c r="A67" s="1027">
        <v>8</v>
      </c>
      <c r="B67" s="724" t="s">
        <v>149</v>
      </c>
    </row>
    <row r="68" spans="1:2" ht="20.100000000000001" customHeight="1">
      <c r="A68" s="1027">
        <v>9</v>
      </c>
      <c r="B68" s="724" t="s">
        <v>152</v>
      </c>
    </row>
    <row r="69" spans="1:2" ht="20.100000000000001" customHeight="1">
      <c r="A69" s="1027">
        <v>10</v>
      </c>
      <c r="B69" s="724" t="s">
        <v>153</v>
      </c>
    </row>
    <row r="70" spans="1:2" ht="20.100000000000001" customHeight="1">
      <c r="A70" s="1027">
        <v>11</v>
      </c>
      <c r="B70" s="724" t="s">
        <v>155</v>
      </c>
    </row>
    <row r="71" spans="1:2" ht="20.100000000000001" customHeight="1">
      <c r="A71" s="1027">
        <v>12</v>
      </c>
      <c r="B71" s="724" t="s">
        <v>156</v>
      </c>
    </row>
    <row r="72" spans="1:2" ht="20.100000000000001" customHeight="1">
      <c r="A72" s="421"/>
      <c r="B72" s="1036"/>
    </row>
    <row r="73" spans="1:2" ht="20.100000000000001" customHeight="1">
      <c r="A73" s="421"/>
      <c r="B73" s="809" t="s">
        <v>157</v>
      </c>
    </row>
    <row r="74" spans="1:2" ht="20.100000000000001" customHeight="1">
      <c r="A74" s="421">
        <v>1</v>
      </c>
      <c r="B74" s="724" t="s">
        <v>158</v>
      </c>
    </row>
    <row r="75" spans="1:2" ht="20.100000000000001" customHeight="1">
      <c r="A75" s="421">
        <v>2</v>
      </c>
      <c r="B75" s="724" t="s">
        <v>160</v>
      </c>
    </row>
    <row r="76" spans="1:2" ht="20.100000000000001" customHeight="1">
      <c r="A76" s="421"/>
      <c r="B76" s="809"/>
    </row>
    <row r="77" spans="1:2" ht="29.1" customHeight="1">
      <c r="A77" s="421"/>
      <c r="B77" s="812" t="s">
        <v>163</v>
      </c>
    </row>
    <row r="78" spans="1:2" ht="20.100000000000001" customHeight="1">
      <c r="A78" s="1027">
        <v>1</v>
      </c>
      <c r="B78" s="724" t="s">
        <v>164</v>
      </c>
    </row>
    <row r="79" spans="1:2" ht="20.100000000000001" customHeight="1">
      <c r="A79" s="1027">
        <v>2</v>
      </c>
      <c r="B79" s="726" t="s">
        <v>166</v>
      </c>
    </row>
    <row r="80" spans="1:2" ht="20.100000000000001" customHeight="1">
      <c r="A80" s="1027">
        <v>3</v>
      </c>
      <c r="B80" s="886" t="s">
        <v>167</v>
      </c>
    </row>
    <row r="81" spans="1:2" ht="20.100000000000001" customHeight="1">
      <c r="A81" s="1027">
        <v>4</v>
      </c>
      <c r="B81" s="724" t="s">
        <v>169</v>
      </c>
    </row>
    <row r="82" spans="1:2" ht="20.100000000000001" customHeight="1">
      <c r="A82" s="1027">
        <v>5</v>
      </c>
      <c r="B82" s="724" t="s">
        <v>170</v>
      </c>
    </row>
    <row r="83" spans="1:2" ht="20.100000000000001" customHeight="1">
      <c r="A83" s="1027">
        <v>6</v>
      </c>
      <c r="B83" s="724" t="s">
        <v>171</v>
      </c>
    </row>
    <row r="84" spans="1:2" ht="20.100000000000001" customHeight="1">
      <c r="A84" s="1027">
        <v>7</v>
      </c>
      <c r="B84" s="724" t="s">
        <v>173</v>
      </c>
    </row>
    <row r="85" spans="1:2" ht="20.100000000000001" customHeight="1">
      <c r="A85" s="1027">
        <v>8</v>
      </c>
      <c r="B85" s="724" t="s">
        <v>174</v>
      </c>
    </row>
    <row r="86" spans="1:2" ht="20.100000000000001" customHeight="1">
      <c r="A86" s="1027">
        <v>9</v>
      </c>
      <c r="B86" s="724" t="s">
        <v>176</v>
      </c>
    </row>
    <row r="87" spans="1:2" ht="20.100000000000001" customHeight="1">
      <c r="A87" s="1027">
        <v>10</v>
      </c>
      <c r="B87" s="724" t="s">
        <v>178</v>
      </c>
    </row>
    <row r="88" spans="1:2" ht="20.100000000000001" customHeight="1">
      <c r="A88" s="1027">
        <v>11</v>
      </c>
      <c r="B88" s="724" t="s">
        <v>180</v>
      </c>
    </row>
    <row r="89" spans="1:2" ht="20.100000000000001" customHeight="1">
      <c r="A89" s="1027"/>
      <c r="B89" s="1037"/>
    </row>
    <row r="90" spans="1:2" ht="20.100000000000001" customHeight="1">
      <c r="A90" s="421"/>
      <c r="B90" s="809" t="s">
        <v>182</v>
      </c>
    </row>
    <row r="91" spans="1:2" ht="20.100000000000001" customHeight="1">
      <c r="A91" s="421">
        <v>1</v>
      </c>
      <c r="B91" s="724" t="s">
        <v>183</v>
      </c>
    </row>
    <row r="92" spans="1:2" ht="20.100000000000001" customHeight="1">
      <c r="A92" s="421">
        <v>2</v>
      </c>
      <c r="B92" s="724" t="s">
        <v>185</v>
      </c>
    </row>
    <row r="93" spans="1:2" ht="20.100000000000001" customHeight="1">
      <c r="A93" s="421">
        <v>3</v>
      </c>
      <c r="B93" s="724" t="s">
        <v>187</v>
      </c>
    </row>
    <row r="94" spans="1:2" ht="20.100000000000001" customHeight="1">
      <c r="A94" s="421">
        <v>4</v>
      </c>
      <c r="B94" s="724" t="s">
        <v>189</v>
      </c>
    </row>
    <row r="95" spans="1:2" ht="20.100000000000001" customHeight="1">
      <c r="A95" s="421">
        <v>5</v>
      </c>
      <c r="B95" s="724" t="s">
        <v>192</v>
      </c>
    </row>
    <row r="96" spans="1:2" ht="20.100000000000001" customHeight="1">
      <c r="A96" s="421">
        <v>6</v>
      </c>
      <c r="B96" s="724" t="s">
        <v>194</v>
      </c>
    </row>
    <row r="97" spans="1:2" ht="20.100000000000001" customHeight="1">
      <c r="A97" s="421">
        <v>7</v>
      </c>
      <c r="B97" s="724" t="s">
        <v>196</v>
      </c>
    </row>
    <row r="98" spans="1:2" ht="20.100000000000001" customHeight="1">
      <c r="A98" s="421">
        <v>8</v>
      </c>
      <c r="B98" s="724" t="s">
        <v>198</v>
      </c>
    </row>
    <row r="99" spans="1:2" ht="20.100000000000001" customHeight="1">
      <c r="A99" s="421">
        <v>9</v>
      </c>
      <c r="B99" s="724" t="s">
        <v>200</v>
      </c>
    </row>
    <row r="100" spans="1:2" ht="20.100000000000001" customHeight="1">
      <c r="A100" s="421">
        <v>10</v>
      </c>
      <c r="B100" s="724" t="s">
        <v>201</v>
      </c>
    </row>
    <row r="101" spans="1:2" ht="20.100000000000001" customHeight="1">
      <c r="A101" s="421">
        <v>11</v>
      </c>
      <c r="B101" s="724" t="s">
        <v>202</v>
      </c>
    </row>
    <row r="102" spans="1:2" ht="20.100000000000001" customHeight="1">
      <c r="A102" s="421"/>
      <c r="B102" s="724"/>
    </row>
    <row r="103" spans="1:2" ht="20.100000000000001" customHeight="1"/>
    <row r="104" spans="1:2" ht="20.100000000000001" customHeight="1"/>
    <row r="105" spans="1:2" ht="20.100000000000001" customHeight="1"/>
    <row r="106" spans="1:2" ht="20.100000000000001" customHeight="1"/>
    <row r="107" spans="1:2" ht="20.100000000000001" customHeight="1"/>
    <row r="108" spans="1:2" ht="20.100000000000001" customHeight="1"/>
    <row r="109" spans="1:2" ht="20.100000000000001" customHeight="1"/>
    <row r="110" spans="1:2" ht="20.100000000000001" customHeight="1"/>
    <row r="111" spans="1:2" ht="20.100000000000001" customHeight="1"/>
    <row r="112" spans="1: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</sheetData>
  <mergeCells count="13">
    <mergeCell ref="Q4:Q5"/>
    <mergeCell ref="R4:R5"/>
    <mergeCell ref="S4:S5"/>
    <mergeCell ref="L4:L5"/>
    <mergeCell ref="M4:M5"/>
    <mergeCell ref="N4:N5"/>
    <mergeCell ref="O4:O5"/>
    <mergeCell ref="P4:P5"/>
    <mergeCell ref="E3:I3"/>
    <mergeCell ref="G6:I6"/>
    <mergeCell ref="E4:E5"/>
    <mergeCell ref="J4:J5"/>
    <mergeCell ref="K4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"/>
  <sheetViews>
    <sheetView topLeftCell="A116" workbookViewId="0">
      <selection activeCell="D167" sqref="D167"/>
    </sheetView>
  </sheetViews>
  <sheetFormatPr defaultColWidth="8.7109375" defaultRowHeight="12.75"/>
  <cols>
    <col min="1" max="1" width="6.5703125" customWidth="1"/>
    <col min="2" max="2" width="43.140625" customWidth="1"/>
    <col min="3" max="3" width="13.140625" customWidth="1"/>
    <col min="4" max="5" width="17.85546875" customWidth="1"/>
  </cols>
  <sheetData>
    <row r="1" spans="1:5" ht="24.95" customHeight="1">
      <c r="A1" s="1155" t="s">
        <v>0</v>
      </c>
      <c r="B1" s="1155"/>
      <c r="C1" s="1155"/>
      <c r="D1" s="1155"/>
      <c r="E1" s="1155"/>
    </row>
    <row r="2" spans="1:5" ht="24.95" customHeight="1">
      <c r="A2" s="202" t="s">
        <v>514</v>
      </c>
      <c r="B2" s="62"/>
      <c r="C2" s="62"/>
      <c r="D2" s="61"/>
      <c r="E2" s="63"/>
    </row>
    <row r="3" spans="1:5" ht="12.95" customHeight="1">
      <c r="A3" s="202"/>
      <c r="B3" s="62"/>
      <c r="C3" s="62"/>
      <c r="D3" s="61"/>
      <c r="E3" s="63"/>
    </row>
    <row r="4" spans="1:5" ht="42.95" customHeight="1">
      <c r="A4" s="624" t="s">
        <v>22</v>
      </c>
      <c r="B4" s="624" t="s">
        <v>470</v>
      </c>
      <c r="C4" s="624" t="s">
        <v>515</v>
      </c>
      <c r="D4" s="987" t="s">
        <v>493</v>
      </c>
      <c r="E4" s="231" t="s">
        <v>516</v>
      </c>
    </row>
    <row r="5" spans="1:5" ht="18.95" customHeight="1">
      <c r="B5" s="6" t="s">
        <v>23</v>
      </c>
      <c r="C5" s="6"/>
      <c r="D5" s="969" t="s">
        <v>21</v>
      </c>
      <c r="E5" s="969" t="s">
        <v>21</v>
      </c>
    </row>
    <row r="6" spans="1:5" ht="24.95" customHeight="1">
      <c r="A6" s="8">
        <v>1</v>
      </c>
      <c r="B6" s="597" t="s">
        <v>24</v>
      </c>
      <c r="C6" s="10" t="s">
        <v>26</v>
      </c>
      <c r="D6" s="691"/>
      <c r="E6" s="691">
        <f>D6*0.2</f>
        <v>0</v>
      </c>
    </row>
    <row r="7" spans="1:5" ht="24.95" customHeight="1">
      <c r="A7" s="8">
        <v>2</v>
      </c>
      <c r="B7" s="597" t="s">
        <v>27</v>
      </c>
      <c r="C7" s="8" t="s">
        <v>29</v>
      </c>
      <c r="D7" s="691"/>
      <c r="E7" s="691">
        <f t="shared" ref="E7:E45" si="0">D7*0.2</f>
        <v>0</v>
      </c>
    </row>
    <row r="8" spans="1:5" ht="24.95" customHeight="1">
      <c r="A8" s="8">
        <v>3</v>
      </c>
      <c r="B8" s="593" t="s">
        <v>30</v>
      </c>
      <c r="C8" s="8" t="s">
        <v>29</v>
      </c>
      <c r="D8" s="691"/>
      <c r="E8" s="691">
        <f t="shared" si="0"/>
        <v>0</v>
      </c>
    </row>
    <row r="9" spans="1:5" ht="24.95" customHeight="1">
      <c r="A9" s="8">
        <v>4</v>
      </c>
      <c r="B9" s="597" t="s">
        <v>32</v>
      </c>
      <c r="C9" s="8" t="s">
        <v>29</v>
      </c>
      <c r="D9" s="691"/>
      <c r="E9" s="691">
        <f t="shared" si="0"/>
        <v>0</v>
      </c>
    </row>
    <row r="10" spans="1:5" ht="24.95" customHeight="1">
      <c r="A10" s="8">
        <v>5</v>
      </c>
      <c r="B10" s="597" t="s">
        <v>34</v>
      </c>
      <c r="C10" s="13" t="s">
        <v>36</v>
      </c>
      <c r="D10" s="691"/>
      <c r="E10" s="691">
        <f t="shared" si="0"/>
        <v>0</v>
      </c>
    </row>
    <row r="11" spans="1:5" ht="24.95" customHeight="1">
      <c r="A11" s="8">
        <v>6</v>
      </c>
      <c r="B11" s="597" t="s">
        <v>37</v>
      </c>
      <c r="C11" s="8" t="s">
        <v>39</v>
      </c>
      <c r="D11" s="691"/>
      <c r="E11" s="691">
        <f t="shared" si="0"/>
        <v>0</v>
      </c>
    </row>
    <row r="12" spans="1:5" ht="24.95" customHeight="1">
      <c r="A12" s="8">
        <v>7</v>
      </c>
      <c r="B12" s="597" t="s">
        <v>40</v>
      </c>
      <c r="C12" s="13" t="s">
        <v>42</v>
      </c>
      <c r="D12" s="691"/>
      <c r="E12" s="691">
        <f t="shared" si="0"/>
        <v>0</v>
      </c>
    </row>
    <row r="13" spans="1:5" ht="24.95" customHeight="1">
      <c r="A13" s="8">
        <v>8</v>
      </c>
      <c r="B13" s="593" t="s">
        <v>43</v>
      </c>
      <c r="C13" s="13" t="s">
        <v>39</v>
      </c>
      <c r="D13" s="691"/>
      <c r="E13" s="691">
        <f t="shared" si="0"/>
        <v>0</v>
      </c>
    </row>
    <row r="14" spans="1:5" ht="24.95" customHeight="1">
      <c r="A14" s="8">
        <v>9</v>
      </c>
      <c r="B14" s="597" t="s">
        <v>45</v>
      </c>
      <c r="C14" s="8" t="s">
        <v>47</v>
      </c>
      <c r="D14" s="691"/>
      <c r="E14" s="691">
        <f t="shared" si="0"/>
        <v>0</v>
      </c>
    </row>
    <row r="15" spans="1:5" ht="24.95" customHeight="1">
      <c r="A15" s="8">
        <v>10</v>
      </c>
      <c r="B15" s="597" t="s">
        <v>48</v>
      </c>
      <c r="C15" s="8" t="s">
        <v>50</v>
      </c>
      <c r="D15" s="691"/>
      <c r="E15" s="691">
        <f t="shared" si="0"/>
        <v>0</v>
      </c>
    </row>
    <row r="16" spans="1:5" ht="24.95" customHeight="1">
      <c r="A16" s="8">
        <v>11</v>
      </c>
      <c r="B16" s="597" t="s">
        <v>51</v>
      </c>
      <c r="C16" s="8" t="s">
        <v>53</v>
      </c>
      <c r="D16" s="691"/>
      <c r="E16" s="691">
        <f t="shared" si="0"/>
        <v>0</v>
      </c>
    </row>
    <row r="17" spans="1:5" ht="24.95" customHeight="1">
      <c r="A17" s="8">
        <v>12</v>
      </c>
      <c r="B17" s="313" t="s">
        <v>54</v>
      </c>
      <c r="C17" s="13" t="s">
        <v>56</v>
      </c>
      <c r="D17" s="691"/>
      <c r="E17" s="691">
        <f t="shared" si="0"/>
        <v>0</v>
      </c>
    </row>
    <row r="18" spans="1:5" ht="24.95" customHeight="1">
      <c r="A18" s="8">
        <v>13</v>
      </c>
      <c r="B18" s="313" t="s">
        <v>57</v>
      </c>
      <c r="C18" s="13" t="s">
        <v>59</v>
      </c>
      <c r="D18" s="955"/>
      <c r="E18" s="691">
        <f t="shared" si="0"/>
        <v>0</v>
      </c>
    </row>
    <row r="19" spans="1:5" ht="24.95" customHeight="1">
      <c r="A19" s="8">
        <v>14</v>
      </c>
      <c r="B19" s="313" t="s">
        <v>60</v>
      </c>
      <c r="C19" s="13" t="s">
        <v>59</v>
      </c>
      <c r="D19" s="955"/>
      <c r="E19" s="691">
        <f t="shared" si="0"/>
        <v>0</v>
      </c>
    </row>
    <row r="20" spans="1:5" ht="24.95" customHeight="1">
      <c r="A20" s="8">
        <v>15</v>
      </c>
      <c r="B20" s="597" t="s">
        <v>62</v>
      </c>
      <c r="C20" s="13" t="s">
        <v>64</v>
      </c>
      <c r="D20" s="691"/>
      <c r="E20" s="691">
        <f t="shared" si="0"/>
        <v>0</v>
      </c>
    </row>
    <row r="21" spans="1:5" ht="24.95" customHeight="1">
      <c r="A21" s="8">
        <v>16</v>
      </c>
      <c r="B21" s="597" t="s">
        <v>65</v>
      </c>
      <c r="C21" s="13" t="s">
        <v>67</v>
      </c>
      <c r="D21" s="691"/>
      <c r="E21" s="691">
        <f t="shared" si="0"/>
        <v>0</v>
      </c>
    </row>
    <row r="22" spans="1:5" ht="24.95" customHeight="1">
      <c r="A22" s="8">
        <v>17</v>
      </c>
      <c r="B22" s="593" t="s">
        <v>68</v>
      </c>
      <c r="C22" s="8" t="s">
        <v>70</v>
      </c>
      <c r="D22" s="691"/>
      <c r="E22" s="691">
        <f t="shared" si="0"/>
        <v>0</v>
      </c>
    </row>
    <row r="23" spans="1:5" ht="24.95" customHeight="1">
      <c r="A23" s="8">
        <v>18</v>
      </c>
      <c r="B23" s="597" t="s">
        <v>71</v>
      </c>
      <c r="C23" s="13" t="s">
        <v>70</v>
      </c>
      <c r="D23" s="691">
        <v>1000000</v>
      </c>
      <c r="E23" s="691">
        <f t="shared" si="0"/>
        <v>200000</v>
      </c>
    </row>
    <row r="24" spans="1:5" ht="24.95" customHeight="1">
      <c r="A24" s="8">
        <v>19</v>
      </c>
      <c r="B24" s="593" t="s">
        <v>73</v>
      </c>
      <c r="C24" s="8" t="s">
        <v>75</v>
      </c>
      <c r="D24" s="691"/>
      <c r="E24" s="691">
        <f t="shared" si="0"/>
        <v>0</v>
      </c>
    </row>
    <row r="25" spans="1:5" ht="24.95" customHeight="1">
      <c r="A25" s="8">
        <v>20</v>
      </c>
      <c r="B25" s="593" t="s">
        <v>76</v>
      </c>
      <c r="C25" s="8" t="s">
        <v>78</v>
      </c>
      <c r="D25" s="691"/>
      <c r="E25" s="691">
        <f t="shared" si="0"/>
        <v>0</v>
      </c>
    </row>
    <row r="26" spans="1:5" ht="24.95" customHeight="1">
      <c r="A26" s="8">
        <v>21</v>
      </c>
      <c r="B26" s="313" t="s">
        <v>79</v>
      </c>
      <c r="C26" s="13" t="s">
        <v>81</v>
      </c>
      <c r="D26" s="691"/>
      <c r="E26" s="691">
        <f t="shared" si="0"/>
        <v>0</v>
      </c>
    </row>
    <row r="27" spans="1:5" ht="24.95" customHeight="1">
      <c r="A27" s="8">
        <v>22</v>
      </c>
      <c r="B27" s="597" t="s">
        <v>82</v>
      </c>
      <c r="C27" s="13" t="s">
        <v>75</v>
      </c>
      <c r="D27" s="691">
        <v>1500000</v>
      </c>
      <c r="E27" s="691">
        <f t="shared" si="0"/>
        <v>300000</v>
      </c>
    </row>
    <row r="28" spans="1:5" ht="24.95" customHeight="1">
      <c r="A28" s="8">
        <v>23</v>
      </c>
      <c r="B28" s="313" t="s">
        <v>84</v>
      </c>
      <c r="C28" s="13" t="s">
        <v>154</v>
      </c>
      <c r="D28" s="691"/>
      <c r="E28" s="691">
        <f t="shared" si="0"/>
        <v>0</v>
      </c>
    </row>
    <row r="29" spans="1:5" ht="24.95" customHeight="1">
      <c r="A29" s="8">
        <v>24</v>
      </c>
      <c r="B29" s="313" t="s">
        <v>87</v>
      </c>
      <c r="C29" s="8" t="s">
        <v>86</v>
      </c>
      <c r="D29" s="691"/>
      <c r="E29" s="691">
        <f t="shared" si="0"/>
        <v>0</v>
      </c>
    </row>
    <row r="30" spans="1:5" ht="24.95" customHeight="1">
      <c r="A30" s="8">
        <v>25</v>
      </c>
      <c r="B30" s="313" t="s">
        <v>89</v>
      </c>
      <c r="C30" s="13" t="s">
        <v>81</v>
      </c>
      <c r="D30" s="691"/>
      <c r="E30" s="691">
        <f t="shared" si="0"/>
        <v>0</v>
      </c>
    </row>
    <row r="31" spans="1:5" ht="24.95" customHeight="1">
      <c r="A31" s="8">
        <v>26</v>
      </c>
      <c r="B31" s="313" t="s">
        <v>91</v>
      </c>
      <c r="C31" s="13" t="s">
        <v>81</v>
      </c>
      <c r="D31" s="691"/>
      <c r="E31" s="691">
        <f t="shared" si="0"/>
        <v>0</v>
      </c>
    </row>
    <row r="32" spans="1:5" ht="24.95" customHeight="1">
      <c r="A32" s="8">
        <v>27</v>
      </c>
      <c r="B32" s="313" t="s">
        <v>93</v>
      </c>
      <c r="C32" s="8" t="s">
        <v>86</v>
      </c>
      <c r="D32" s="691"/>
      <c r="E32" s="691">
        <f t="shared" si="0"/>
        <v>0</v>
      </c>
    </row>
    <row r="33" spans="1:5" ht="24.95" customHeight="1">
      <c r="A33" s="8">
        <v>28</v>
      </c>
      <c r="B33" s="313" t="s">
        <v>95</v>
      </c>
      <c r="C33" s="13" t="s">
        <v>81</v>
      </c>
      <c r="D33" s="691"/>
      <c r="E33" s="691">
        <f t="shared" si="0"/>
        <v>0</v>
      </c>
    </row>
    <row r="34" spans="1:5" ht="24.95" customHeight="1">
      <c r="A34" s="8">
        <v>29</v>
      </c>
      <c r="B34" s="313" t="s">
        <v>97</v>
      </c>
      <c r="C34" s="8" t="s">
        <v>99</v>
      </c>
      <c r="D34" s="691">
        <v>1000000</v>
      </c>
      <c r="E34" s="691">
        <f t="shared" si="0"/>
        <v>200000</v>
      </c>
    </row>
    <row r="35" spans="1:5" ht="24.95" customHeight="1">
      <c r="A35" s="8">
        <v>30</v>
      </c>
      <c r="B35" s="313" t="s">
        <v>100</v>
      </c>
      <c r="C35" s="8" t="s">
        <v>99</v>
      </c>
      <c r="D35" s="691"/>
      <c r="E35" s="691">
        <f t="shared" si="0"/>
        <v>0</v>
      </c>
    </row>
    <row r="36" spans="1:5" ht="24.95" customHeight="1">
      <c r="A36" s="8">
        <v>31</v>
      </c>
      <c r="B36" s="313" t="s">
        <v>101</v>
      </c>
      <c r="C36" s="8" t="s">
        <v>99</v>
      </c>
      <c r="D36" s="691"/>
      <c r="E36" s="691">
        <f t="shared" si="0"/>
        <v>0</v>
      </c>
    </row>
    <row r="37" spans="1:5" ht="24.95" customHeight="1">
      <c r="A37" s="8">
        <v>32</v>
      </c>
      <c r="B37" s="313" t="s">
        <v>102</v>
      </c>
      <c r="C37" s="8" t="s">
        <v>99</v>
      </c>
      <c r="D37" s="691"/>
      <c r="E37" s="691">
        <f t="shared" si="0"/>
        <v>0</v>
      </c>
    </row>
    <row r="38" spans="1:5" ht="24.95" customHeight="1">
      <c r="A38" s="8">
        <v>33</v>
      </c>
      <c r="B38" s="313" t="s">
        <v>103</v>
      </c>
      <c r="C38" s="13" t="s">
        <v>105</v>
      </c>
      <c r="D38" s="691"/>
      <c r="E38" s="691">
        <f t="shared" si="0"/>
        <v>0</v>
      </c>
    </row>
    <row r="39" spans="1:5" ht="24.95" customHeight="1">
      <c r="A39" s="8">
        <v>34</v>
      </c>
      <c r="B39" s="313" t="s">
        <v>106</v>
      </c>
      <c r="C39" s="13" t="s">
        <v>108</v>
      </c>
      <c r="D39" s="955"/>
      <c r="E39" s="691">
        <f t="shared" si="0"/>
        <v>0</v>
      </c>
    </row>
    <row r="40" spans="1:5" ht="24.95" customHeight="1">
      <c r="A40" s="8">
        <v>35</v>
      </c>
      <c r="B40" s="313" t="s">
        <v>109</v>
      </c>
      <c r="C40" s="13" t="s">
        <v>111</v>
      </c>
      <c r="D40" s="691"/>
      <c r="E40" s="691">
        <f t="shared" si="0"/>
        <v>0</v>
      </c>
    </row>
    <row r="41" spans="1:5" ht="24.95" customHeight="1">
      <c r="A41" s="8">
        <v>36</v>
      </c>
      <c r="B41" s="313" t="s">
        <v>112</v>
      </c>
      <c r="C41" s="13" t="s">
        <v>111</v>
      </c>
      <c r="D41" s="691"/>
      <c r="E41" s="691">
        <f t="shared" si="0"/>
        <v>0</v>
      </c>
    </row>
    <row r="42" spans="1:5" ht="24.95" customHeight="1">
      <c r="A42" s="8">
        <v>37</v>
      </c>
      <c r="B42" s="313" t="s">
        <v>114</v>
      </c>
      <c r="C42" s="13" t="s">
        <v>111</v>
      </c>
      <c r="D42" s="691"/>
      <c r="E42" s="691">
        <f t="shared" si="0"/>
        <v>0</v>
      </c>
    </row>
    <row r="43" spans="1:5" ht="24.95" customHeight="1">
      <c r="A43" s="8">
        <v>38</v>
      </c>
      <c r="B43" s="313" t="s">
        <v>115</v>
      </c>
      <c r="C43" s="13" t="s">
        <v>111</v>
      </c>
      <c r="D43" s="691"/>
      <c r="E43" s="691">
        <f t="shared" si="0"/>
        <v>0</v>
      </c>
    </row>
    <row r="44" spans="1:5" ht="24.95" customHeight="1">
      <c r="A44" s="8">
        <v>39</v>
      </c>
      <c r="B44" s="313" t="s">
        <v>117</v>
      </c>
      <c r="C44" s="13" t="s">
        <v>111</v>
      </c>
      <c r="D44" s="691"/>
      <c r="E44" s="691">
        <f t="shared" si="0"/>
        <v>0</v>
      </c>
    </row>
    <row r="45" spans="1:5" ht="24.95" customHeight="1">
      <c r="A45" s="8">
        <v>40</v>
      </c>
      <c r="B45" s="313" t="s">
        <v>118</v>
      </c>
      <c r="C45" s="13" t="s">
        <v>111</v>
      </c>
      <c r="D45" s="691"/>
      <c r="E45" s="691">
        <f t="shared" si="0"/>
        <v>0</v>
      </c>
    </row>
    <row r="46" spans="1:5" ht="24.95" customHeight="1">
      <c r="A46" s="8"/>
      <c r="B46" s="809" t="s">
        <v>120</v>
      </c>
      <c r="C46" s="13"/>
      <c r="D46" s="811">
        <f>SUM(D6:D45)</f>
        <v>3500000</v>
      </c>
      <c r="E46" s="811">
        <f>SUM(E6:E45)</f>
        <v>700000</v>
      </c>
    </row>
    <row r="47" spans="1:5" ht="24.95" customHeight="1">
      <c r="A47" s="8"/>
      <c r="B47" s="812"/>
      <c r="C47" s="13"/>
      <c r="D47" s="811"/>
      <c r="E47" s="811"/>
    </row>
    <row r="48" spans="1:5" ht="24.95" customHeight="1">
      <c r="A48" s="8"/>
      <c r="B48" s="809" t="s">
        <v>121</v>
      </c>
      <c r="C48" s="13"/>
      <c r="D48" s="691"/>
      <c r="E48" s="691"/>
    </row>
    <row r="49" spans="1:5" ht="24.95" customHeight="1">
      <c r="A49" s="8">
        <v>1</v>
      </c>
      <c r="B49" s="313" t="s">
        <v>122</v>
      </c>
      <c r="C49" s="8" t="s">
        <v>124</v>
      </c>
      <c r="D49" s="691"/>
      <c r="E49" s="691">
        <f>D49*0.2</f>
        <v>0</v>
      </c>
    </row>
    <row r="50" spans="1:5" ht="24.95" customHeight="1">
      <c r="A50" s="8">
        <v>2</v>
      </c>
      <c r="B50" s="597" t="s">
        <v>125</v>
      </c>
      <c r="C50" s="13" t="s">
        <v>50</v>
      </c>
      <c r="D50" s="691"/>
      <c r="E50" s="691">
        <f t="shared" ref="E50:E55" si="1">D50*0.2</f>
        <v>0</v>
      </c>
    </row>
    <row r="51" spans="1:5" ht="24.95" customHeight="1">
      <c r="A51" s="8">
        <v>3</v>
      </c>
      <c r="B51" s="313" t="s">
        <v>127</v>
      </c>
      <c r="C51" s="8" t="s">
        <v>78</v>
      </c>
      <c r="D51" s="691"/>
      <c r="E51" s="691">
        <f t="shared" si="1"/>
        <v>0</v>
      </c>
    </row>
    <row r="52" spans="1:5" ht="24.95" customHeight="1">
      <c r="A52" s="8">
        <v>4</v>
      </c>
      <c r="B52" s="597" t="s">
        <v>129</v>
      </c>
      <c r="C52" s="13" t="s">
        <v>131</v>
      </c>
      <c r="D52" s="692"/>
      <c r="E52" s="691">
        <f t="shared" si="1"/>
        <v>0</v>
      </c>
    </row>
    <row r="53" spans="1:5" ht="24.95" customHeight="1">
      <c r="A53" s="8">
        <v>5</v>
      </c>
      <c r="B53" s="313" t="s">
        <v>132</v>
      </c>
      <c r="C53" s="13" t="s">
        <v>99</v>
      </c>
      <c r="D53" s="691"/>
      <c r="E53" s="691">
        <f t="shared" si="1"/>
        <v>0</v>
      </c>
    </row>
    <row r="54" spans="1:5" ht="24.95" customHeight="1">
      <c r="A54" s="8">
        <v>6</v>
      </c>
      <c r="B54" s="597" t="s">
        <v>133</v>
      </c>
      <c r="C54" s="13" t="s">
        <v>86</v>
      </c>
      <c r="D54" s="955"/>
      <c r="E54" s="691">
        <f t="shared" si="1"/>
        <v>0</v>
      </c>
    </row>
    <row r="55" spans="1:5" ht="24.95" customHeight="1">
      <c r="A55" s="8">
        <v>7</v>
      </c>
      <c r="B55" s="313" t="s">
        <v>135</v>
      </c>
      <c r="C55" s="13" t="s">
        <v>111</v>
      </c>
      <c r="D55" s="691">
        <v>550000</v>
      </c>
      <c r="E55" s="691">
        <f t="shared" si="1"/>
        <v>110000</v>
      </c>
    </row>
    <row r="56" spans="1:5" ht="24.95" customHeight="1">
      <c r="A56" s="8"/>
      <c r="B56" s="593"/>
      <c r="C56" s="8"/>
      <c r="D56" s="811">
        <f>SUM(D49:D55)</f>
        <v>550000</v>
      </c>
      <c r="E56" s="811">
        <f>SUM(E49:E55)</f>
        <v>110000</v>
      </c>
    </row>
    <row r="57" spans="1:5" ht="24.95" customHeight="1">
      <c r="A57" s="8"/>
      <c r="B57" s="593"/>
      <c r="C57" s="8"/>
      <c r="D57" s="811"/>
      <c r="E57" s="811"/>
    </row>
    <row r="58" spans="1:5" ht="24.95" customHeight="1">
      <c r="A58" s="8"/>
      <c r="B58" s="814" t="s">
        <v>137</v>
      </c>
      <c r="C58" s="22"/>
      <c r="D58" s="811"/>
      <c r="E58" s="811"/>
    </row>
    <row r="59" spans="1:5" ht="24.95" customHeight="1">
      <c r="A59" s="8">
        <v>1</v>
      </c>
      <c r="B59" s="597" t="s">
        <v>138</v>
      </c>
      <c r="C59" s="8" t="s">
        <v>140</v>
      </c>
      <c r="D59" s="691"/>
      <c r="E59" s="691">
        <f>D59*0.2</f>
        <v>0</v>
      </c>
    </row>
    <row r="60" spans="1:5" ht="24.95" customHeight="1">
      <c r="A60" s="8">
        <v>2</v>
      </c>
      <c r="B60" s="597" t="s">
        <v>141</v>
      </c>
      <c r="C60" s="8" t="s">
        <v>39</v>
      </c>
      <c r="D60" s="691"/>
      <c r="E60" s="691">
        <f t="shared" ref="E60:E70" si="2">D60*0.2</f>
        <v>0</v>
      </c>
    </row>
    <row r="61" spans="1:5" ht="24.95" customHeight="1">
      <c r="A61" s="8">
        <v>3</v>
      </c>
      <c r="B61" s="597" t="s">
        <v>143</v>
      </c>
      <c r="C61" s="8" t="s">
        <v>39</v>
      </c>
      <c r="D61" s="691"/>
      <c r="E61" s="691">
        <f t="shared" si="2"/>
        <v>0</v>
      </c>
    </row>
    <row r="62" spans="1:5" ht="24.95" customHeight="1">
      <c r="A62" s="8">
        <v>4</v>
      </c>
      <c r="B62" s="597" t="s">
        <v>144</v>
      </c>
      <c r="C62" s="8" t="s">
        <v>39</v>
      </c>
      <c r="D62" s="691"/>
      <c r="E62" s="691">
        <f t="shared" si="2"/>
        <v>0</v>
      </c>
    </row>
    <row r="63" spans="1:5" ht="24.95" customHeight="1">
      <c r="A63" s="8">
        <v>5</v>
      </c>
      <c r="B63" s="593" t="s">
        <v>145</v>
      </c>
      <c r="C63" s="8" t="s">
        <v>50</v>
      </c>
      <c r="D63" s="691"/>
      <c r="E63" s="691">
        <f t="shared" si="2"/>
        <v>0</v>
      </c>
    </row>
    <row r="64" spans="1:5" ht="24.95" customHeight="1">
      <c r="A64" s="8">
        <v>6</v>
      </c>
      <c r="B64" s="593" t="s">
        <v>146</v>
      </c>
      <c r="C64" s="8" t="s">
        <v>50</v>
      </c>
      <c r="D64" s="691"/>
      <c r="E64" s="691">
        <f t="shared" si="2"/>
        <v>0</v>
      </c>
    </row>
    <row r="65" spans="1:5" ht="24.95" customHeight="1">
      <c r="A65" s="8">
        <v>7</v>
      </c>
      <c r="B65" s="313" t="s">
        <v>147</v>
      </c>
      <c r="C65" s="13" t="s">
        <v>131</v>
      </c>
      <c r="D65" s="692"/>
      <c r="E65" s="691">
        <f t="shared" si="2"/>
        <v>0</v>
      </c>
    </row>
    <row r="66" spans="1:5" ht="24.95" customHeight="1">
      <c r="A66" s="8">
        <v>8</v>
      </c>
      <c r="B66" s="597" t="s">
        <v>149</v>
      </c>
      <c r="C66" s="8" t="s">
        <v>151</v>
      </c>
      <c r="D66" s="691"/>
      <c r="E66" s="691">
        <f t="shared" si="2"/>
        <v>0</v>
      </c>
    </row>
    <row r="67" spans="1:5" ht="24.95" customHeight="1">
      <c r="A67" s="8">
        <v>9</v>
      </c>
      <c r="B67" s="597" t="s">
        <v>152</v>
      </c>
      <c r="C67" s="8" t="s">
        <v>75</v>
      </c>
      <c r="D67" s="691"/>
      <c r="E67" s="691">
        <f t="shared" si="2"/>
        <v>0</v>
      </c>
    </row>
    <row r="68" spans="1:5" ht="24.95" customHeight="1">
      <c r="A68" s="8">
        <v>10</v>
      </c>
      <c r="B68" s="597" t="s">
        <v>153</v>
      </c>
      <c r="C68" s="8" t="s">
        <v>154</v>
      </c>
      <c r="D68" s="691"/>
      <c r="E68" s="691">
        <f t="shared" si="2"/>
        <v>0</v>
      </c>
    </row>
    <row r="69" spans="1:5" ht="24.95" customHeight="1">
      <c r="A69" s="8">
        <v>11</v>
      </c>
      <c r="B69" s="597" t="s">
        <v>155</v>
      </c>
      <c r="C69" s="8" t="s">
        <v>154</v>
      </c>
      <c r="D69" s="691"/>
      <c r="E69" s="691">
        <f t="shared" si="2"/>
        <v>0</v>
      </c>
    </row>
    <row r="70" spans="1:5" ht="24.95" customHeight="1">
      <c r="A70" s="8">
        <v>12</v>
      </c>
      <c r="B70" s="313" t="s">
        <v>156</v>
      </c>
      <c r="C70" s="8" t="s">
        <v>99</v>
      </c>
      <c r="D70" s="691"/>
      <c r="E70" s="691">
        <f t="shared" si="2"/>
        <v>0</v>
      </c>
    </row>
    <row r="71" spans="1:5" ht="24.95" customHeight="1">
      <c r="A71" s="8"/>
      <c r="B71" s="809" t="s">
        <v>120</v>
      </c>
      <c r="C71" s="19"/>
      <c r="D71" s="821">
        <f>SUM(D59:D70)</f>
        <v>0</v>
      </c>
      <c r="E71" s="821">
        <f>SUM(E59:E70)</f>
        <v>0</v>
      </c>
    </row>
    <row r="72" spans="1:5" ht="24.95" customHeight="1">
      <c r="A72" s="8"/>
      <c r="B72" s="812"/>
      <c r="C72" s="19"/>
      <c r="D72" s="956"/>
      <c r="E72" s="956"/>
    </row>
    <row r="73" spans="1:5" ht="24.95" customHeight="1">
      <c r="A73" s="8"/>
      <c r="B73" s="809" t="s">
        <v>157</v>
      </c>
      <c r="C73" s="19"/>
      <c r="D73" s="956"/>
      <c r="E73" s="956"/>
    </row>
    <row r="74" spans="1:5" ht="24.95" customHeight="1">
      <c r="A74" s="8">
        <v>1</v>
      </c>
      <c r="B74" s="597" t="s">
        <v>158</v>
      </c>
      <c r="C74" s="13" t="s">
        <v>124</v>
      </c>
      <c r="D74" s="691"/>
      <c r="E74" s="691">
        <f t="shared" ref="E74:E89" si="3">D74*0.2</f>
        <v>0</v>
      </c>
    </row>
    <row r="75" spans="1:5" ht="24.95" customHeight="1">
      <c r="A75" s="8">
        <v>2</v>
      </c>
      <c r="B75" s="597" t="s">
        <v>160</v>
      </c>
      <c r="C75" s="13" t="s">
        <v>162</v>
      </c>
      <c r="D75" s="691"/>
      <c r="E75" s="691">
        <f t="shared" si="3"/>
        <v>0</v>
      </c>
    </row>
    <row r="76" spans="1:5" ht="24.95" customHeight="1">
      <c r="A76" s="8"/>
      <c r="B76" s="809" t="s">
        <v>120</v>
      </c>
      <c r="C76" s="19"/>
      <c r="D76" s="821">
        <f>SUM(D74:D75)</f>
        <v>0</v>
      </c>
      <c r="E76" s="821">
        <f>SUM(E74:E75)</f>
        <v>0</v>
      </c>
    </row>
    <row r="77" spans="1:5" ht="24.95" customHeight="1">
      <c r="A77" s="8"/>
      <c r="B77" s="809"/>
      <c r="C77" s="19"/>
      <c r="D77" s="956"/>
      <c r="E77" s="956"/>
    </row>
    <row r="78" spans="1:5" ht="24.95" customHeight="1">
      <c r="A78" s="8"/>
      <c r="B78" s="809" t="s">
        <v>163</v>
      </c>
      <c r="C78" s="19"/>
      <c r="D78" s="956"/>
      <c r="E78" s="956"/>
    </row>
    <row r="79" spans="1:5" ht="24.95" customHeight="1">
      <c r="A79" s="8">
        <v>1</v>
      </c>
      <c r="B79" s="593" t="s">
        <v>164</v>
      </c>
      <c r="C79" s="8" t="s">
        <v>36</v>
      </c>
      <c r="D79" s="691"/>
      <c r="E79" s="691">
        <f t="shared" si="3"/>
        <v>0</v>
      </c>
    </row>
    <row r="80" spans="1:5" ht="24.95" customHeight="1">
      <c r="A80" s="8">
        <v>2</v>
      </c>
      <c r="B80" s="597" t="s">
        <v>166</v>
      </c>
      <c r="C80" s="8" t="s">
        <v>47</v>
      </c>
      <c r="D80" s="691"/>
      <c r="E80" s="691">
        <f t="shared" si="3"/>
        <v>0</v>
      </c>
    </row>
    <row r="81" spans="1:5" ht="24.95" customHeight="1">
      <c r="A81" s="8">
        <v>3</v>
      </c>
      <c r="B81" s="313" t="s">
        <v>167</v>
      </c>
      <c r="C81" s="13" t="s">
        <v>64</v>
      </c>
      <c r="D81" s="691"/>
      <c r="E81" s="691">
        <f t="shared" si="3"/>
        <v>0</v>
      </c>
    </row>
    <row r="82" spans="1:5" ht="24.95" customHeight="1">
      <c r="A82" s="8">
        <v>4</v>
      </c>
      <c r="B82" s="313" t="s">
        <v>169</v>
      </c>
      <c r="C82" s="13" t="s">
        <v>64</v>
      </c>
      <c r="D82" s="691"/>
      <c r="E82" s="691">
        <f t="shared" si="3"/>
        <v>0</v>
      </c>
    </row>
    <row r="83" spans="1:5" ht="24.95" customHeight="1">
      <c r="A83" s="8">
        <v>5</v>
      </c>
      <c r="B83" s="597" t="s">
        <v>170</v>
      </c>
      <c r="C83" s="8" t="s">
        <v>172</v>
      </c>
      <c r="D83" s="691"/>
      <c r="E83" s="691">
        <f t="shared" si="3"/>
        <v>0</v>
      </c>
    </row>
    <row r="84" spans="1:5" ht="24.95" customHeight="1">
      <c r="A84" s="8">
        <v>6</v>
      </c>
      <c r="B84" s="597" t="s">
        <v>171</v>
      </c>
      <c r="C84" s="8" t="s">
        <v>172</v>
      </c>
      <c r="D84" s="691"/>
      <c r="E84" s="691">
        <f t="shared" si="3"/>
        <v>0</v>
      </c>
    </row>
    <row r="85" spans="1:5" ht="24.95" customHeight="1">
      <c r="A85" s="8">
        <v>7</v>
      </c>
      <c r="B85" s="597" t="s">
        <v>173</v>
      </c>
      <c r="C85" s="8" t="s">
        <v>172</v>
      </c>
      <c r="D85" s="691"/>
      <c r="E85" s="691">
        <f t="shared" si="3"/>
        <v>0</v>
      </c>
    </row>
    <row r="86" spans="1:5" ht="24.95" customHeight="1">
      <c r="A86" s="8">
        <v>8</v>
      </c>
      <c r="B86" s="597" t="s">
        <v>174</v>
      </c>
      <c r="C86" s="13" t="s">
        <v>67</v>
      </c>
      <c r="D86" s="691"/>
      <c r="E86" s="691">
        <f t="shared" si="3"/>
        <v>0</v>
      </c>
    </row>
    <row r="87" spans="1:5" ht="24.95" customHeight="1">
      <c r="A87" s="8">
        <v>9</v>
      </c>
      <c r="B87" s="593" t="s">
        <v>176</v>
      </c>
      <c r="C87" s="8" t="s">
        <v>131</v>
      </c>
      <c r="D87" s="691"/>
      <c r="E87" s="691">
        <f t="shared" si="3"/>
        <v>0</v>
      </c>
    </row>
    <row r="88" spans="1:5" ht="24.95" customHeight="1">
      <c r="A88" s="8">
        <v>10</v>
      </c>
      <c r="B88" s="597" t="s">
        <v>178</v>
      </c>
      <c r="C88" s="8" t="s">
        <v>151</v>
      </c>
      <c r="D88" s="692">
        <v>2500000</v>
      </c>
      <c r="E88" s="691">
        <f t="shared" si="3"/>
        <v>500000</v>
      </c>
    </row>
    <row r="89" spans="1:5" ht="24.95" customHeight="1">
      <c r="A89" s="8">
        <v>11</v>
      </c>
      <c r="B89" s="313" t="s">
        <v>180</v>
      </c>
      <c r="C89" s="8" t="s">
        <v>99</v>
      </c>
      <c r="D89" s="691"/>
      <c r="E89" s="691">
        <f t="shared" si="3"/>
        <v>0</v>
      </c>
    </row>
    <row r="90" spans="1:5" ht="24.95" customHeight="1">
      <c r="A90" s="8"/>
      <c r="B90" s="809" t="s">
        <v>120</v>
      </c>
      <c r="C90" s="19"/>
      <c r="D90" s="821">
        <f>SUM(D79:D89)</f>
        <v>2500000</v>
      </c>
      <c r="E90" s="821">
        <f>SUM(E79:E89)</f>
        <v>500000</v>
      </c>
    </row>
    <row r="91" spans="1:5" ht="24.95" customHeight="1">
      <c r="A91" s="8"/>
      <c r="B91" s="812"/>
      <c r="C91" s="19"/>
      <c r="D91" s="956"/>
      <c r="E91" s="956"/>
    </row>
    <row r="92" spans="1:5" ht="24.95" customHeight="1">
      <c r="A92" s="8"/>
      <c r="B92" s="809" t="s">
        <v>182</v>
      </c>
      <c r="C92" s="19"/>
      <c r="D92" s="956"/>
      <c r="E92" s="956"/>
    </row>
    <row r="93" spans="1:5" ht="24.95" customHeight="1">
      <c r="A93" s="8">
        <v>1</v>
      </c>
      <c r="B93" s="597" t="s">
        <v>183</v>
      </c>
      <c r="C93" s="8" t="s">
        <v>124</v>
      </c>
      <c r="D93" s="691"/>
      <c r="E93" s="691">
        <f t="shared" ref="E93:E103" si="4">D93*0.2</f>
        <v>0</v>
      </c>
    </row>
    <row r="94" spans="1:5" ht="24.95" customHeight="1">
      <c r="A94" s="8">
        <v>2</v>
      </c>
      <c r="B94" s="597" t="s">
        <v>185</v>
      </c>
      <c r="C94" s="8" t="s">
        <v>50</v>
      </c>
      <c r="D94" s="691"/>
      <c r="E94" s="691">
        <f t="shared" si="4"/>
        <v>0</v>
      </c>
    </row>
    <row r="95" spans="1:5" ht="24.95" customHeight="1">
      <c r="A95" s="8">
        <v>3</v>
      </c>
      <c r="B95" s="597" t="s">
        <v>187</v>
      </c>
      <c r="C95" s="8" t="s">
        <v>50</v>
      </c>
      <c r="D95" s="691"/>
      <c r="E95" s="691">
        <f t="shared" si="4"/>
        <v>0</v>
      </c>
    </row>
    <row r="96" spans="1:5" ht="24.95" customHeight="1">
      <c r="A96" s="8">
        <v>4</v>
      </c>
      <c r="B96" s="597" t="s">
        <v>189</v>
      </c>
      <c r="C96" s="13" t="s">
        <v>191</v>
      </c>
      <c r="D96" s="691"/>
      <c r="E96" s="691">
        <f t="shared" si="4"/>
        <v>0</v>
      </c>
    </row>
    <row r="97" spans="1:5" ht="24.95" customHeight="1">
      <c r="A97" s="8">
        <v>5</v>
      </c>
      <c r="B97" s="597" t="s">
        <v>192</v>
      </c>
      <c r="C97" s="13" t="s">
        <v>64</v>
      </c>
      <c r="D97" s="691"/>
      <c r="E97" s="691">
        <f t="shared" si="4"/>
        <v>0</v>
      </c>
    </row>
    <row r="98" spans="1:5" ht="24.95" customHeight="1">
      <c r="A98" s="8">
        <v>6</v>
      </c>
      <c r="B98" s="597" t="s">
        <v>194</v>
      </c>
      <c r="C98" s="13" t="s">
        <v>64</v>
      </c>
      <c r="D98" s="691"/>
      <c r="E98" s="691">
        <f t="shared" si="4"/>
        <v>0</v>
      </c>
    </row>
    <row r="99" spans="1:5" ht="24.95" customHeight="1">
      <c r="A99" s="8">
        <v>7</v>
      </c>
      <c r="B99" s="597" t="s">
        <v>196</v>
      </c>
      <c r="C99" s="8" t="s">
        <v>70</v>
      </c>
      <c r="D99" s="691"/>
      <c r="E99" s="691">
        <f t="shared" si="4"/>
        <v>0</v>
      </c>
    </row>
    <row r="100" spans="1:5" ht="24.95" customHeight="1">
      <c r="A100" s="8">
        <v>8</v>
      </c>
      <c r="B100" s="597" t="s">
        <v>198</v>
      </c>
      <c r="C100" s="8" t="s">
        <v>75</v>
      </c>
      <c r="D100" s="691"/>
      <c r="E100" s="691">
        <f t="shared" si="4"/>
        <v>0</v>
      </c>
    </row>
    <row r="101" spans="1:5" ht="24.95" customHeight="1">
      <c r="A101" s="8">
        <v>9</v>
      </c>
      <c r="B101" s="597" t="s">
        <v>200</v>
      </c>
      <c r="C101" s="8" t="s">
        <v>86</v>
      </c>
      <c r="D101" s="691"/>
      <c r="E101" s="691">
        <f t="shared" si="4"/>
        <v>0</v>
      </c>
    </row>
    <row r="102" spans="1:5" ht="24.95" customHeight="1">
      <c r="A102" s="8">
        <v>10</v>
      </c>
      <c r="B102" s="313" t="s">
        <v>201</v>
      </c>
      <c r="C102" s="8" t="s">
        <v>99</v>
      </c>
      <c r="D102" s="691"/>
      <c r="E102" s="691">
        <f t="shared" si="4"/>
        <v>0</v>
      </c>
    </row>
    <row r="103" spans="1:5" ht="24.95" customHeight="1">
      <c r="A103" s="8">
        <v>11</v>
      </c>
      <c r="B103" s="597" t="s">
        <v>202</v>
      </c>
      <c r="C103" s="8" t="s">
        <v>105</v>
      </c>
      <c r="D103" s="691"/>
      <c r="E103" s="691">
        <f t="shared" si="4"/>
        <v>0</v>
      </c>
    </row>
    <row r="104" spans="1:5" ht="24.95" customHeight="1">
      <c r="A104" s="8"/>
      <c r="B104" s="809" t="s">
        <v>120</v>
      </c>
      <c r="C104" s="19"/>
      <c r="D104" s="821">
        <f>SUM(D93:D103)</f>
        <v>0</v>
      </c>
      <c r="E104" s="821">
        <f>SUM(E93:E103)</f>
        <v>0</v>
      </c>
    </row>
    <row r="105" spans="1:5" ht="24.95" customHeight="1">
      <c r="A105" s="8"/>
      <c r="B105" s="809"/>
      <c r="C105" s="19"/>
      <c r="D105" s="956"/>
      <c r="E105" s="956"/>
    </row>
    <row r="106" spans="1:5" ht="24.95" customHeight="1">
      <c r="A106" s="8"/>
      <c r="B106" s="809" t="s">
        <v>204</v>
      </c>
      <c r="C106" s="19"/>
      <c r="D106" s="956"/>
      <c r="E106" s="956"/>
    </row>
    <row r="107" spans="1:5" ht="24.95" customHeight="1">
      <c r="A107" s="8">
        <v>1</v>
      </c>
      <c r="B107" s="597" t="s">
        <v>205</v>
      </c>
      <c r="C107" s="8" t="s">
        <v>140</v>
      </c>
      <c r="D107" s="691"/>
      <c r="E107" s="691">
        <f t="shared" ref="E107:E119" si="5">D107*0.2</f>
        <v>0</v>
      </c>
    </row>
    <row r="108" spans="1:5" ht="24.95" customHeight="1">
      <c r="A108" s="8">
        <v>2</v>
      </c>
      <c r="B108" s="597" t="s">
        <v>207</v>
      </c>
      <c r="C108" s="8" t="s">
        <v>209</v>
      </c>
      <c r="D108" s="691"/>
      <c r="E108" s="691">
        <f t="shared" si="5"/>
        <v>0</v>
      </c>
    </row>
    <row r="109" spans="1:5" ht="24.95" customHeight="1">
      <c r="A109" s="8">
        <v>3</v>
      </c>
      <c r="B109" s="597" t="s">
        <v>210</v>
      </c>
      <c r="C109" s="8" t="s">
        <v>39</v>
      </c>
      <c r="D109" s="691"/>
      <c r="E109" s="691">
        <f t="shared" si="5"/>
        <v>0</v>
      </c>
    </row>
    <row r="110" spans="1:5" ht="24.95" customHeight="1">
      <c r="A110" s="8">
        <v>4</v>
      </c>
      <c r="B110" s="597" t="s">
        <v>211</v>
      </c>
      <c r="C110" s="13" t="s">
        <v>47</v>
      </c>
      <c r="D110" s="691"/>
      <c r="E110" s="691">
        <f t="shared" si="5"/>
        <v>0</v>
      </c>
    </row>
    <row r="111" spans="1:5" ht="24.95" customHeight="1">
      <c r="A111" s="8">
        <v>5</v>
      </c>
      <c r="B111" s="597" t="s">
        <v>212</v>
      </c>
      <c r="C111" s="13" t="s">
        <v>47</v>
      </c>
      <c r="D111" s="691"/>
      <c r="E111" s="691">
        <f t="shared" si="5"/>
        <v>0</v>
      </c>
    </row>
    <row r="112" spans="1:5" ht="24.95" customHeight="1">
      <c r="A112" s="8">
        <v>6</v>
      </c>
      <c r="B112" s="597" t="s">
        <v>213</v>
      </c>
      <c r="C112" s="13" t="s">
        <v>214</v>
      </c>
      <c r="D112" s="691"/>
      <c r="E112" s="691">
        <f t="shared" si="5"/>
        <v>0</v>
      </c>
    </row>
    <row r="113" spans="1:5" ht="24.95" customHeight="1">
      <c r="A113" s="8">
        <v>7</v>
      </c>
      <c r="B113" s="597" t="s">
        <v>215</v>
      </c>
      <c r="C113" s="13" t="s">
        <v>172</v>
      </c>
      <c r="D113" s="691"/>
      <c r="E113" s="691">
        <f t="shared" si="5"/>
        <v>0</v>
      </c>
    </row>
    <row r="114" spans="1:5" ht="24.95" customHeight="1">
      <c r="A114" s="8">
        <v>8</v>
      </c>
      <c r="B114" s="597" t="s">
        <v>216</v>
      </c>
      <c r="C114" s="13" t="s">
        <v>218</v>
      </c>
      <c r="D114" s="691"/>
      <c r="E114" s="691">
        <f t="shared" si="5"/>
        <v>0</v>
      </c>
    </row>
    <row r="115" spans="1:5" ht="24.95" customHeight="1">
      <c r="A115" s="8">
        <v>9</v>
      </c>
      <c r="B115" s="313" t="s">
        <v>219</v>
      </c>
      <c r="C115" s="13" t="s">
        <v>131</v>
      </c>
      <c r="D115" s="692">
        <v>1200000</v>
      </c>
      <c r="E115" s="691">
        <f t="shared" si="5"/>
        <v>240000</v>
      </c>
    </row>
    <row r="116" spans="1:5" ht="24.95" customHeight="1">
      <c r="A116" s="8">
        <v>10</v>
      </c>
      <c r="B116" s="597" t="s">
        <v>220</v>
      </c>
      <c r="C116" s="8" t="s">
        <v>151</v>
      </c>
      <c r="D116" s="692"/>
      <c r="E116" s="691">
        <f t="shared" si="5"/>
        <v>0</v>
      </c>
    </row>
    <row r="117" spans="1:5" ht="24.95" customHeight="1">
      <c r="A117" s="8">
        <v>11</v>
      </c>
      <c r="B117" s="313" t="s">
        <v>222</v>
      </c>
      <c r="C117" s="8" t="s">
        <v>99</v>
      </c>
      <c r="D117" s="691"/>
      <c r="E117" s="691">
        <f t="shared" si="5"/>
        <v>0</v>
      </c>
    </row>
    <row r="118" spans="1:5" ht="24.95" customHeight="1">
      <c r="A118" s="8">
        <v>12</v>
      </c>
      <c r="B118" s="313" t="s">
        <v>223</v>
      </c>
      <c r="C118" s="8" t="s">
        <v>99</v>
      </c>
      <c r="D118" s="691"/>
      <c r="E118" s="691">
        <f t="shared" si="5"/>
        <v>0</v>
      </c>
    </row>
    <row r="119" spans="1:5" ht="24.95" customHeight="1">
      <c r="A119" s="8">
        <v>13</v>
      </c>
      <c r="B119" s="597" t="s">
        <v>224</v>
      </c>
      <c r="C119" s="13" t="s">
        <v>517</v>
      </c>
      <c r="D119" s="692"/>
      <c r="E119" s="691">
        <f t="shared" si="5"/>
        <v>0</v>
      </c>
    </row>
    <row r="120" spans="1:5" ht="24.95" customHeight="1">
      <c r="A120" s="8"/>
      <c r="B120" s="809" t="s">
        <v>120</v>
      </c>
      <c r="C120" s="19"/>
      <c r="D120" s="821">
        <f>SUM(D107:D119)</f>
        <v>1200000</v>
      </c>
      <c r="E120" s="821">
        <f>SUM(E107:E119)</f>
        <v>240000</v>
      </c>
    </row>
    <row r="121" spans="1:5" ht="24.95" customHeight="1">
      <c r="A121" s="8"/>
      <c r="B121" s="812"/>
      <c r="C121" s="19"/>
      <c r="D121" s="956"/>
      <c r="E121" s="956"/>
    </row>
    <row r="122" spans="1:5" ht="24.95" customHeight="1">
      <c r="A122" s="8"/>
      <c r="B122" s="809" t="s">
        <v>226</v>
      </c>
      <c r="C122" s="19"/>
      <c r="D122" s="956"/>
      <c r="E122" s="956"/>
    </row>
    <row r="123" spans="1:5" ht="24.95" customHeight="1">
      <c r="A123" s="8">
        <v>1</v>
      </c>
      <c r="B123" s="593" t="s">
        <v>227</v>
      </c>
      <c r="C123" s="14" t="s">
        <v>124</v>
      </c>
      <c r="D123" s="691"/>
      <c r="E123" s="691">
        <f t="shared" ref="E123:E129" si="6">D123*0.2</f>
        <v>0</v>
      </c>
    </row>
    <row r="124" spans="1:5" ht="24.95" customHeight="1">
      <c r="A124" s="8">
        <v>2</v>
      </c>
      <c r="B124" s="597" t="s">
        <v>229</v>
      </c>
      <c r="C124" s="13" t="s">
        <v>191</v>
      </c>
      <c r="D124" s="691"/>
      <c r="E124" s="691">
        <f t="shared" si="6"/>
        <v>0</v>
      </c>
    </row>
    <row r="125" spans="1:5" ht="24.95" customHeight="1">
      <c r="A125" s="8">
        <v>3</v>
      </c>
      <c r="B125" s="597" t="s">
        <v>231</v>
      </c>
      <c r="C125" s="13" t="s">
        <v>218</v>
      </c>
      <c r="D125" s="691"/>
      <c r="E125" s="691">
        <f t="shared" si="6"/>
        <v>0</v>
      </c>
    </row>
    <row r="126" spans="1:5" ht="24.95" customHeight="1">
      <c r="A126" s="8">
        <v>4</v>
      </c>
      <c r="B126" s="597" t="s">
        <v>233</v>
      </c>
      <c r="C126" s="13" t="s">
        <v>64</v>
      </c>
      <c r="D126" s="691"/>
      <c r="E126" s="691">
        <f t="shared" si="6"/>
        <v>0</v>
      </c>
    </row>
    <row r="127" spans="1:5" ht="24.95" customHeight="1">
      <c r="A127" s="8">
        <v>5</v>
      </c>
      <c r="B127" s="597" t="s">
        <v>235</v>
      </c>
      <c r="C127" s="13" t="s">
        <v>64</v>
      </c>
      <c r="D127" s="691"/>
      <c r="E127" s="691">
        <f t="shared" si="6"/>
        <v>0</v>
      </c>
    </row>
    <row r="128" spans="1:5" ht="24.95" customHeight="1">
      <c r="A128" s="8">
        <v>6</v>
      </c>
      <c r="B128" s="597" t="s">
        <v>236</v>
      </c>
      <c r="C128" s="13" t="s">
        <v>151</v>
      </c>
      <c r="D128" s="692"/>
      <c r="E128" s="691">
        <f t="shared" si="6"/>
        <v>0</v>
      </c>
    </row>
    <row r="129" spans="1:5" ht="24.95" customHeight="1">
      <c r="A129" s="8">
        <v>7</v>
      </c>
      <c r="B129" s="313" t="s">
        <v>237</v>
      </c>
      <c r="C129" s="13" t="s">
        <v>75</v>
      </c>
      <c r="D129" s="691"/>
      <c r="E129" s="691">
        <f t="shared" si="6"/>
        <v>0</v>
      </c>
    </row>
    <row r="130" spans="1:5" ht="24.95" customHeight="1">
      <c r="A130" s="2"/>
      <c r="B130" s="809" t="s">
        <v>120</v>
      </c>
      <c r="C130" s="24"/>
      <c r="D130" s="821">
        <f>SUM(D123:D129)</f>
        <v>0</v>
      </c>
      <c r="E130" s="821">
        <f>SUM(E123:E129)</f>
        <v>0</v>
      </c>
    </row>
    <row r="131" spans="1:5" ht="24.95" customHeight="1">
      <c r="A131" s="2"/>
      <c r="B131" s="812"/>
      <c r="C131" s="24"/>
      <c r="D131" s="956"/>
      <c r="E131" s="956"/>
    </row>
    <row r="132" spans="1:5" ht="24.95" customHeight="1">
      <c r="A132" s="2"/>
      <c r="B132" s="809" t="s">
        <v>239</v>
      </c>
      <c r="C132" s="2"/>
      <c r="D132" s="725"/>
      <c r="E132" s="725"/>
    </row>
    <row r="133" spans="1:5" ht="24.95" customHeight="1">
      <c r="A133" s="2">
        <v>1</v>
      </c>
      <c r="B133" s="597" t="s">
        <v>240</v>
      </c>
      <c r="C133" s="13" t="s">
        <v>124</v>
      </c>
      <c r="D133" s="691"/>
      <c r="E133" s="691">
        <f t="shared" ref="E133:E143" si="7">D133*0.2</f>
        <v>0</v>
      </c>
    </row>
    <row r="134" spans="1:5" ht="24.95" customHeight="1">
      <c r="A134" s="2">
        <v>2</v>
      </c>
      <c r="B134" s="597" t="s">
        <v>242</v>
      </c>
      <c r="C134" s="14" t="s">
        <v>36</v>
      </c>
      <c r="D134" s="691"/>
      <c r="E134" s="691">
        <f t="shared" si="7"/>
        <v>0</v>
      </c>
    </row>
    <row r="135" spans="1:5" ht="24.95" customHeight="1">
      <c r="A135" s="2">
        <v>3</v>
      </c>
      <c r="B135" s="597" t="s">
        <v>244</v>
      </c>
      <c r="C135" s="8" t="s">
        <v>214</v>
      </c>
      <c r="D135" s="691"/>
      <c r="E135" s="691">
        <f t="shared" si="7"/>
        <v>0</v>
      </c>
    </row>
    <row r="136" spans="1:5" ht="24.95" customHeight="1">
      <c r="A136" s="2">
        <v>4</v>
      </c>
      <c r="B136" s="597" t="s">
        <v>246</v>
      </c>
      <c r="C136" s="8" t="s">
        <v>214</v>
      </c>
      <c r="D136" s="691"/>
      <c r="E136" s="691">
        <f t="shared" si="7"/>
        <v>0</v>
      </c>
    </row>
    <row r="137" spans="1:5" ht="24.95" customHeight="1">
      <c r="A137" s="2">
        <v>5</v>
      </c>
      <c r="B137" s="313" t="s">
        <v>247</v>
      </c>
      <c r="C137" s="13" t="s">
        <v>131</v>
      </c>
      <c r="D137" s="692"/>
      <c r="E137" s="691">
        <f t="shared" si="7"/>
        <v>0</v>
      </c>
    </row>
    <row r="138" spans="1:5" ht="24.95" customHeight="1">
      <c r="A138" s="2">
        <v>6</v>
      </c>
      <c r="B138" s="597" t="s">
        <v>249</v>
      </c>
      <c r="C138" s="13" t="s">
        <v>251</v>
      </c>
      <c r="D138" s="692"/>
      <c r="E138" s="691">
        <f t="shared" si="7"/>
        <v>0</v>
      </c>
    </row>
    <row r="139" spans="1:5" ht="24.95" customHeight="1">
      <c r="A139" s="2">
        <v>7</v>
      </c>
      <c r="B139" s="313" t="s">
        <v>252</v>
      </c>
      <c r="C139" s="8" t="s">
        <v>99</v>
      </c>
      <c r="D139" s="692"/>
      <c r="E139" s="691">
        <f t="shared" si="7"/>
        <v>0</v>
      </c>
    </row>
    <row r="140" spans="1:5" ht="24.95" customHeight="1">
      <c r="A140" s="2">
        <v>8</v>
      </c>
      <c r="B140" s="313" t="s">
        <v>253</v>
      </c>
      <c r="C140" s="13" t="s">
        <v>517</v>
      </c>
      <c r="D140" s="692"/>
      <c r="E140" s="691">
        <f t="shared" si="7"/>
        <v>0</v>
      </c>
    </row>
    <row r="141" spans="1:5" ht="24.95" customHeight="1">
      <c r="A141" s="2">
        <v>9</v>
      </c>
      <c r="B141" s="313" t="s">
        <v>254</v>
      </c>
      <c r="C141" s="13" t="s">
        <v>111</v>
      </c>
      <c r="D141" s="691"/>
      <c r="E141" s="691">
        <f t="shared" si="7"/>
        <v>0</v>
      </c>
    </row>
    <row r="142" spans="1:5" ht="24.95" customHeight="1">
      <c r="A142" s="2">
        <v>10</v>
      </c>
      <c r="B142" s="313" t="s">
        <v>255</v>
      </c>
      <c r="C142" s="13" t="s">
        <v>111</v>
      </c>
      <c r="D142" s="691"/>
      <c r="E142" s="691">
        <f t="shared" si="7"/>
        <v>0</v>
      </c>
    </row>
    <row r="143" spans="1:5" ht="24.95" customHeight="1">
      <c r="A143" s="2">
        <v>11</v>
      </c>
      <c r="B143" s="313" t="s">
        <v>256</v>
      </c>
      <c r="C143" s="13" t="s">
        <v>111</v>
      </c>
      <c r="D143" s="691"/>
      <c r="E143" s="691">
        <f t="shared" si="7"/>
        <v>0</v>
      </c>
    </row>
    <row r="144" spans="1:5" ht="24.95" customHeight="1">
      <c r="A144" s="2"/>
      <c r="B144" s="809" t="s">
        <v>120</v>
      </c>
      <c r="C144" s="2"/>
      <c r="D144" s="957">
        <f>SUM(D133:D143)</f>
        <v>0</v>
      </c>
      <c r="E144" s="957">
        <f>SUM(E133:E143)</f>
        <v>0</v>
      </c>
    </row>
    <row r="145" spans="1:5" ht="24.95" customHeight="1">
      <c r="A145" s="2"/>
      <c r="B145" s="809"/>
      <c r="C145" s="2"/>
      <c r="D145" s="957"/>
      <c r="E145" s="957"/>
    </row>
    <row r="146" spans="1:5" ht="24.95" customHeight="1">
      <c r="A146" s="8"/>
      <c r="B146" s="809" t="s">
        <v>257</v>
      </c>
      <c r="C146" s="19"/>
      <c r="D146" s="956"/>
      <c r="E146" s="956"/>
    </row>
    <row r="147" spans="1:5" ht="24.95" customHeight="1">
      <c r="A147" s="8">
        <v>1</v>
      </c>
      <c r="B147" s="597" t="s">
        <v>258</v>
      </c>
      <c r="C147" s="8" t="s">
        <v>50</v>
      </c>
      <c r="D147" s="691"/>
      <c r="E147" s="691">
        <f t="shared" ref="E147:E154" si="8">D147*0.2</f>
        <v>0</v>
      </c>
    </row>
    <row r="148" spans="1:5" ht="24.95" customHeight="1">
      <c r="A148" s="8">
        <v>2</v>
      </c>
      <c r="B148" s="597" t="s">
        <v>259</v>
      </c>
      <c r="C148" s="13" t="s">
        <v>261</v>
      </c>
      <c r="D148" s="691"/>
      <c r="E148" s="691">
        <f t="shared" si="8"/>
        <v>0</v>
      </c>
    </row>
    <row r="149" spans="1:5" ht="24.95" customHeight="1">
      <c r="A149" s="8">
        <v>3</v>
      </c>
      <c r="B149" s="597" t="s">
        <v>484</v>
      </c>
      <c r="C149" s="13" t="s">
        <v>70</v>
      </c>
      <c r="D149" s="691"/>
      <c r="E149" s="691">
        <f t="shared" si="8"/>
        <v>0</v>
      </c>
    </row>
    <row r="150" spans="1:5" ht="24.95" customHeight="1">
      <c r="A150" s="8">
        <v>4</v>
      </c>
      <c r="B150" s="313" t="s">
        <v>262</v>
      </c>
      <c r="C150" s="8" t="s">
        <v>99</v>
      </c>
      <c r="D150" s="691"/>
      <c r="E150" s="691">
        <f t="shared" si="8"/>
        <v>0</v>
      </c>
    </row>
    <row r="151" spans="1:5" ht="24.95" customHeight="1">
      <c r="A151" s="8">
        <v>5</v>
      </c>
      <c r="B151" s="313" t="s">
        <v>263</v>
      </c>
      <c r="C151" s="8" t="s">
        <v>99</v>
      </c>
      <c r="D151" s="691"/>
      <c r="E151" s="691">
        <f t="shared" si="8"/>
        <v>0</v>
      </c>
    </row>
    <row r="152" spans="1:5" ht="24.95" customHeight="1">
      <c r="A152" s="8">
        <v>6</v>
      </c>
      <c r="B152" s="313" t="s">
        <v>264</v>
      </c>
      <c r="C152" s="8" t="s">
        <v>99</v>
      </c>
      <c r="D152" s="691"/>
      <c r="E152" s="691">
        <f t="shared" si="8"/>
        <v>0</v>
      </c>
    </row>
    <row r="153" spans="1:5" ht="24.95" customHeight="1">
      <c r="A153" s="8">
        <v>7</v>
      </c>
      <c r="B153" s="313" t="s">
        <v>265</v>
      </c>
      <c r="C153" s="8" t="s">
        <v>99</v>
      </c>
      <c r="D153" s="691"/>
      <c r="E153" s="691">
        <f t="shared" si="8"/>
        <v>0</v>
      </c>
    </row>
    <row r="154" spans="1:5" ht="24.95" customHeight="1">
      <c r="A154" s="8">
        <v>8</v>
      </c>
      <c r="B154" s="313" t="s">
        <v>266</v>
      </c>
      <c r="C154" s="13" t="s">
        <v>111</v>
      </c>
      <c r="D154" s="691"/>
      <c r="E154" s="691">
        <f t="shared" si="8"/>
        <v>0</v>
      </c>
    </row>
    <row r="155" spans="1:5" ht="24.95" customHeight="1">
      <c r="A155" s="2"/>
      <c r="B155" s="809" t="s">
        <v>120</v>
      </c>
      <c r="C155" s="24"/>
      <c r="D155" s="821">
        <f>SUM(D147:D154)</f>
        <v>0</v>
      </c>
      <c r="E155" s="821">
        <f>SUM(E147:E154)</f>
        <v>0</v>
      </c>
    </row>
    <row r="156" spans="1:5" ht="24.95" customHeight="1">
      <c r="A156" s="2"/>
      <c r="B156" s="809"/>
      <c r="C156" s="24"/>
      <c r="D156" s="821"/>
      <c r="E156" s="821"/>
    </row>
    <row r="157" spans="1:5" ht="24.95" customHeight="1">
      <c r="A157" s="8"/>
      <c r="B157" s="809" t="s">
        <v>268</v>
      </c>
      <c r="C157" s="19"/>
      <c r="D157" s="956"/>
      <c r="E157" s="956"/>
    </row>
    <row r="158" spans="1:5" ht="24.95" customHeight="1">
      <c r="A158" s="2">
        <v>1</v>
      </c>
      <c r="B158" s="313" t="s">
        <v>269</v>
      </c>
      <c r="C158" s="13" t="s">
        <v>75</v>
      </c>
      <c r="D158" s="691"/>
      <c r="E158" s="691">
        <f t="shared" ref="E158:E162" si="9">D158*0.2</f>
        <v>0</v>
      </c>
    </row>
    <row r="159" spans="1:5" ht="24.95" customHeight="1">
      <c r="A159" s="2">
        <v>2</v>
      </c>
      <c r="B159" s="313" t="s">
        <v>271</v>
      </c>
      <c r="C159" s="8" t="s">
        <v>99</v>
      </c>
      <c r="D159" s="691"/>
      <c r="E159" s="691">
        <f t="shared" si="9"/>
        <v>0</v>
      </c>
    </row>
    <row r="160" spans="1:5" ht="24.95" customHeight="1">
      <c r="A160" s="2">
        <v>3</v>
      </c>
      <c r="B160" s="597" t="s">
        <v>273</v>
      </c>
      <c r="C160" s="8" t="s">
        <v>111</v>
      </c>
      <c r="D160" s="691"/>
      <c r="E160" s="691">
        <f t="shared" si="9"/>
        <v>0</v>
      </c>
    </row>
    <row r="161" spans="1:5" ht="24.95" customHeight="1">
      <c r="A161" s="2">
        <v>4</v>
      </c>
      <c r="B161" s="313" t="s">
        <v>275</v>
      </c>
      <c r="C161" s="13" t="s">
        <v>277</v>
      </c>
      <c r="D161" s="691"/>
      <c r="E161" s="691">
        <f t="shared" si="9"/>
        <v>0</v>
      </c>
    </row>
    <row r="162" spans="1:5" ht="24.95" customHeight="1">
      <c r="A162" s="2">
        <v>5</v>
      </c>
      <c r="B162" s="597" t="s">
        <v>278</v>
      </c>
      <c r="C162" s="8" t="s">
        <v>111</v>
      </c>
      <c r="D162" s="691"/>
      <c r="E162" s="691">
        <f t="shared" si="9"/>
        <v>0</v>
      </c>
    </row>
    <row r="163" spans="1:5" ht="24.95" customHeight="1">
      <c r="A163" s="2"/>
      <c r="B163" s="809" t="s">
        <v>120</v>
      </c>
      <c r="C163" s="24"/>
      <c r="D163" s="821">
        <f>SUM(D158:D162)</f>
        <v>0</v>
      </c>
      <c r="E163" s="821">
        <f>SUM(E158:E162)</f>
        <v>0</v>
      </c>
    </row>
    <row r="164" spans="1:5" ht="24.95" customHeight="1">
      <c r="A164" s="2"/>
      <c r="B164" s="809"/>
      <c r="C164" s="24"/>
      <c r="D164" s="821"/>
      <c r="E164" s="821"/>
    </row>
    <row r="165" spans="1:5" ht="24.95" customHeight="1">
      <c r="A165" s="2"/>
      <c r="B165" s="809" t="s">
        <v>280</v>
      </c>
      <c r="C165" s="19"/>
      <c r="D165" s="956"/>
      <c r="E165" s="956"/>
    </row>
    <row r="166" spans="1:5" ht="24.95" customHeight="1">
      <c r="A166" s="2">
        <v>1</v>
      </c>
      <c r="B166" s="597" t="s">
        <v>281</v>
      </c>
      <c r="C166" s="13" t="s">
        <v>124</v>
      </c>
      <c r="D166" s="691"/>
      <c r="E166" s="691">
        <f t="shared" ref="E166:E177" si="10">D166*0.2</f>
        <v>0</v>
      </c>
    </row>
    <row r="167" spans="1:5" ht="24.95" customHeight="1">
      <c r="A167" s="2">
        <v>2</v>
      </c>
      <c r="B167" s="597" t="s">
        <v>283</v>
      </c>
      <c r="C167" s="13" t="s">
        <v>36</v>
      </c>
      <c r="D167" s="691"/>
      <c r="E167" s="691">
        <f t="shared" si="10"/>
        <v>0</v>
      </c>
    </row>
    <row r="168" spans="1:5" ht="24.95" customHeight="1">
      <c r="A168" s="2">
        <v>3</v>
      </c>
      <c r="B168" s="593" t="s">
        <v>285</v>
      </c>
      <c r="C168" s="13" t="s">
        <v>36</v>
      </c>
      <c r="D168" s="691"/>
      <c r="E168" s="691">
        <f t="shared" si="10"/>
        <v>0</v>
      </c>
    </row>
    <row r="169" spans="1:5" ht="24.95" customHeight="1">
      <c r="A169" s="2">
        <v>4</v>
      </c>
      <c r="B169" s="597" t="s">
        <v>286</v>
      </c>
      <c r="C169" s="13" t="s">
        <v>50</v>
      </c>
      <c r="D169" s="691"/>
      <c r="E169" s="691">
        <f t="shared" si="10"/>
        <v>0</v>
      </c>
    </row>
    <row r="170" spans="1:5" ht="24.95" customHeight="1">
      <c r="A170" s="2">
        <v>5</v>
      </c>
      <c r="B170" s="597" t="s">
        <v>288</v>
      </c>
      <c r="C170" s="13" t="s">
        <v>42</v>
      </c>
      <c r="D170" s="691"/>
      <c r="E170" s="691">
        <f t="shared" si="10"/>
        <v>0</v>
      </c>
    </row>
    <row r="171" spans="1:5" ht="24.95" customHeight="1">
      <c r="A171" s="2">
        <v>6</v>
      </c>
      <c r="B171" s="597" t="s">
        <v>289</v>
      </c>
      <c r="C171" s="13" t="s">
        <v>47</v>
      </c>
      <c r="D171" s="691"/>
      <c r="E171" s="691">
        <f t="shared" si="10"/>
        <v>0</v>
      </c>
    </row>
    <row r="172" spans="1:5" ht="24.95" customHeight="1">
      <c r="A172" s="2">
        <v>7</v>
      </c>
      <c r="B172" s="597" t="s">
        <v>291</v>
      </c>
      <c r="C172" s="13" t="s">
        <v>191</v>
      </c>
      <c r="D172" s="691"/>
      <c r="E172" s="691">
        <f t="shared" si="10"/>
        <v>0</v>
      </c>
    </row>
    <row r="173" spans="1:5" ht="24.95" customHeight="1">
      <c r="A173" s="2">
        <v>8</v>
      </c>
      <c r="B173" s="313" t="s">
        <v>292</v>
      </c>
      <c r="C173" s="13" t="s">
        <v>99</v>
      </c>
      <c r="D173" s="691"/>
      <c r="E173" s="691">
        <f t="shared" si="10"/>
        <v>0</v>
      </c>
    </row>
    <row r="174" spans="1:5" ht="24.95" customHeight="1">
      <c r="A174" s="2">
        <v>9</v>
      </c>
      <c r="B174" s="597" t="s">
        <v>294</v>
      </c>
      <c r="C174" s="13" t="s">
        <v>81</v>
      </c>
      <c r="D174" s="691"/>
      <c r="E174" s="691">
        <f t="shared" si="10"/>
        <v>0</v>
      </c>
    </row>
    <row r="175" spans="1:5" ht="24.95" customHeight="1">
      <c r="A175" s="2">
        <v>10</v>
      </c>
      <c r="B175" s="313" t="s">
        <v>296</v>
      </c>
      <c r="C175" s="13" t="s">
        <v>105</v>
      </c>
      <c r="D175" s="691"/>
      <c r="E175" s="691">
        <f t="shared" si="10"/>
        <v>0</v>
      </c>
    </row>
    <row r="176" spans="1:5" ht="24.95" customHeight="1">
      <c r="A176" s="2">
        <v>11</v>
      </c>
      <c r="B176" s="313" t="s">
        <v>298</v>
      </c>
      <c r="C176" s="13" t="s">
        <v>105</v>
      </c>
      <c r="D176" s="691"/>
      <c r="E176" s="691"/>
    </row>
    <row r="177" spans="1:5" ht="24.95" customHeight="1">
      <c r="A177" s="2">
        <v>12</v>
      </c>
      <c r="B177" s="313" t="s">
        <v>299</v>
      </c>
      <c r="C177" s="13" t="s">
        <v>108</v>
      </c>
      <c r="D177" s="958"/>
      <c r="E177" s="691">
        <f t="shared" si="10"/>
        <v>0</v>
      </c>
    </row>
    <row r="178" spans="1:5" ht="24.95" customHeight="1">
      <c r="A178" s="2"/>
      <c r="B178" s="809" t="s">
        <v>120</v>
      </c>
      <c r="C178" s="13"/>
      <c r="D178" s="811">
        <f>SUM(D166:D177)</f>
        <v>0</v>
      </c>
      <c r="E178" s="811">
        <f>SUM(E166:E177)</f>
        <v>0</v>
      </c>
    </row>
    <row r="179" spans="1:5" ht="24.95" customHeight="1">
      <c r="A179" s="2"/>
      <c r="B179" s="812"/>
      <c r="C179" s="13"/>
      <c r="D179" s="956"/>
      <c r="E179" s="956"/>
    </row>
    <row r="180" spans="1:5" ht="24.95" customHeight="1">
      <c r="A180" s="2"/>
      <c r="B180" s="809" t="s">
        <v>301</v>
      </c>
      <c r="C180" s="13"/>
      <c r="D180" s="691"/>
      <c r="E180" s="691"/>
    </row>
    <row r="181" spans="1:5" ht="24.95" customHeight="1">
      <c r="A181" s="25">
        <v>1</v>
      </c>
      <c r="B181" s="593" t="s">
        <v>302</v>
      </c>
      <c r="C181" s="8" t="s">
        <v>304</v>
      </c>
      <c r="D181" s="691"/>
      <c r="E181" s="691">
        <f t="shared" ref="E181:E244" si="11">D181*0.2</f>
        <v>0</v>
      </c>
    </row>
    <row r="182" spans="1:5" ht="24.95" customHeight="1">
      <c r="A182" s="25">
        <v>2</v>
      </c>
      <c r="B182" s="593" t="s">
        <v>305</v>
      </c>
      <c r="C182" s="14" t="s">
        <v>36</v>
      </c>
      <c r="D182" s="691"/>
      <c r="E182" s="691">
        <f t="shared" si="11"/>
        <v>0</v>
      </c>
    </row>
    <row r="183" spans="1:5" ht="24.95" customHeight="1">
      <c r="A183" s="25">
        <v>3</v>
      </c>
      <c r="B183" s="597" t="s">
        <v>307</v>
      </c>
      <c r="C183" s="13" t="s">
        <v>50</v>
      </c>
      <c r="D183" s="691"/>
      <c r="E183" s="691">
        <f t="shared" si="11"/>
        <v>0</v>
      </c>
    </row>
    <row r="184" spans="1:5" ht="24.95" customHeight="1">
      <c r="A184" s="25">
        <v>4</v>
      </c>
      <c r="B184" s="597" t="s">
        <v>309</v>
      </c>
      <c r="C184" s="13" t="s">
        <v>50</v>
      </c>
      <c r="D184" s="691"/>
      <c r="E184" s="691">
        <f t="shared" si="11"/>
        <v>0</v>
      </c>
    </row>
    <row r="185" spans="1:5" ht="24.95" customHeight="1">
      <c r="A185" s="25">
        <v>5</v>
      </c>
      <c r="B185" s="597" t="s">
        <v>311</v>
      </c>
      <c r="C185" s="13" t="s">
        <v>50</v>
      </c>
      <c r="D185" s="691"/>
      <c r="E185" s="691">
        <f t="shared" si="11"/>
        <v>0</v>
      </c>
    </row>
    <row r="186" spans="1:5" ht="24.95" customHeight="1">
      <c r="A186" s="25">
        <v>6</v>
      </c>
      <c r="B186" s="597" t="s">
        <v>312</v>
      </c>
      <c r="C186" s="8" t="s">
        <v>53</v>
      </c>
      <c r="D186" s="691"/>
      <c r="E186" s="691">
        <f t="shared" si="11"/>
        <v>0</v>
      </c>
    </row>
    <row r="187" spans="1:5" ht="24.95" customHeight="1">
      <c r="A187" s="25">
        <v>7</v>
      </c>
      <c r="B187" s="597" t="s">
        <v>314</v>
      </c>
      <c r="C187" s="13" t="s">
        <v>64</v>
      </c>
      <c r="D187" s="691"/>
      <c r="E187" s="691">
        <f t="shared" si="11"/>
        <v>0</v>
      </c>
    </row>
    <row r="188" spans="1:5" ht="24.95" customHeight="1">
      <c r="A188" s="25">
        <v>8</v>
      </c>
      <c r="B188" s="597" t="s">
        <v>315</v>
      </c>
      <c r="C188" s="13" t="s">
        <v>64</v>
      </c>
      <c r="D188" s="691"/>
      <c r="E188" s="691">
        <f t="shared" si="11"/>
        <v>0</v>
      </c>
    </row>
    <row r="189" spans="1:5" ht="24.95" customHeight="1">
      <c r="A189" s="25">
        <v>9</v>
      </c>
      <c r="B189" s="597" t="s">
        <v>317</v>
      </c>
      <c r="C189" s="13" t="s">
        <v>67</v>
      </c>
      <c r="D189" s="691"/>
      <c r="E189" s="691">
        <f t="shared" si="11"/>
        <v>0</v>
      </c>
    </row>
    <row r="190" spans="1:5" ht="24.95" customHeight="1">
      <c r="A190" s="25">
        <v>10</v>
      </c>
      <c r="B190" s="597" t="s">
        <v>319</v>
      </c>
      <c r="C190" s="13" t="s">
        <v>172</v>
      </c>
      <c r="D190" s="691"/>
      <c r="E190" s="691">
        <f t="shared" si="11"/>
        <v>0</v>
      </c>
    </row>
    <row r="191" spans="1:5" ht="24.95" customHeight="1">
      <c r="A191" s="25">
        <v>11</v>
      </c>
      <c r="B191" s="313" t="s">
        <v>321</v>
      </c>
      <c r="C191" s="13" t="s">
        <v>70</v>
      </c>
      <c r="D191" s="692"/>
      <c r="E191" s="691">
        <f t="shared" si="11"/>
        <v>0</v>
      </c>
    </row>
    <row r="192" spans="1:5" ht="24.95" customHeight="1">
      <c r="A192" s="25">
        <v>12</v>
      </c>
      <c r="B192" s="597" t="s">
        <v>323</v>
      </c>
      <c r="C192" s="13" t="s">
        <v>131</v>
      </c>
      <c r="D192" s="692"/>
      <c r="E192" s="691">
        <f t="shared" si="11"/>
        <v>0</v>
      </c>
    </row>
    <row r="193" spans="1:5" ht="24.95" customHeight="1">
      <c r="A193" s="25">
        <v>13</v>
      </c>
      <c r="B193" s="597" t="s">
        <v>324</v>
      </c>
      <c r="C193" s="13" t="s">
        <v>131</v>
      </c>
      <c r="D193" s="692"/>
      <c r="E193" s="691">
        <f t="shared" si="11"/>
        <v>0</v>
      </c>
    </row>
    <row r="194" spans="1:5" ht="24.95" customHeight="1">
      <c r="A194" s="25">
        <v>14</v>
      </c>
      <c r="B194" s="597" t="s">
        <v>325</v>
      </c>
      <c r="C194" s="13" t="s">
        <v>131</v>
      </c>
      <c r="D194" s="692"/>
      <c r="E194" s="691">
        <f t="shared" si="11"/>
        <v>0</v>
      </c>
    </row>
    <row r="195" spans="1:5" ht="24.95" customHeight="1">
      <c r="A195" s="25">
        <v>15</v>
      </c>
      <c r="B195" s="597" t="s">
        <v>326</v>
      </c>
      <c r="C195" s="13" t="s">
        <v>70</v>
      </c>
      <c r="D195" s="692"/>
      <c r="E195" s="691">
        <f t="shared" si="11"/>
        <v>0</v>
      </c>
    </row>
    <row r="196" spans="1:5" ht="24.95" customHeight="1">
      <c r="A196" s="25">
        <v>16</v>
      </c>
      <c r="B196" s="597" t="s">
        <v>327</v>
      </c>
      <c r="C196" s="13" t="s">
        <v>151</v>
      </c>
      <c r="D196" s="692"/>
      <c r="E196" s="691">
        <f t="shared" si="11"/>
        <v>0</v>
      </c>
    </row>
    <row r="197" spans="1:5" ht="24.95" customHeight="1">
      <c r="A197" s="25">
        <v>17</v>
      </c>
      <c r="B197" s="597" t="s">
        <v>329</v>
      </c>
      <c r="C197" s="8" t="s">
        <v>81</v>
      </c>
      <c r="D197" s="691"/>
      <c r="E197" s="691">
        <f t="shared" si="11"/>
        <v>0</v>
      </c>
    </row>
    <row r="198" spans="1:5" ht="24.95" customHeight="1">
      <c r="A198" s="25">
        <v>18</v>
      </c>
      <c r="B198" s="597" t="s">
        <v>331</v>
      </c>
      <c r="C198" s="13" t="s">
        <v>131</v>
      </c>
      <c r="D198" s="692"/>
      <c r="E198" s="691">
        <f t="shared" si="11"/>
        <v>0</v>
      </c>
    </row>
    <row r="199" spans="1:5" ht="24.95" customHeight="1">
      <c r="A199" s="25">
        <v>19</v>
      </c>
      <c r="B199" s="597" t="s">
        <v>333</v>
      </c>
      <c r="C199" s="13" t="s">
        <v>75</v>
      </c>
      <c r="D199" s="691"/>
      <c r="E199" s="691">
        <f t="shared" si="11"/>
        <v>0</v>
      </c>
    </row>
    <row r="200" spans="1:5" ht="24.95" customHeight="1">
      <c r="A200" s="25">
        <v>20</v>
      </c>
      <c r="B200" s="597" t="s">
        <v>335</v>
      </c>
      <c r="C200" s="13" t="s">
        <v>131</v>
      </c>
      <c r="D200" s="692"/>
      <c r="E200" s="691">
        <f t="shared" si="11"/>
        <v>0</v>
      </c>
    </row>
    <row r="201" spans="1:5" ht="24.95" customHeight="1">
      <c r="A201" s="25">
        <v>21</v>
      </c>
      <c r="B201" s="597" t="s">
        <v>336</v>
      </c>
      <c r="C201" s="13" t="s">
        <v>81</v>
      </c>
      <c r="D201" s="691"/>
      <c r="E201" s="691">
        <f t="shared" si="11"/>
        <v>0</v>
      </c>
    </row>
    <row r="202" spans="1:5" ht="24.95" customHeight="1">
      <c r="A202" s="25">
        <v>22</v>
      </c>
      <c r="B202" s="313" t="s">
        <v>338</v>
      </c>
      <c r="C202" s="13" t="s">
        <v>86</v>
      </c>
      <c r="D202" s="692"/>
      <c r="E202" s="691">
        <f t="shared" si="11"/>
        <v>0</v>
      </c>
    </row>
    <row r="203" spans="1:5" ht="24.95" customHeight="1">
      <c r="A203" s="25">
        <v>23</v>
      </c>
      <c r="B203" s="313" t="s">
        <v>340</v>
      </c>
      <c r="C203" s="13" t="s">
        <v>86</v>
      </c>
      <c r="D203" s="692"/>
      <c r="E203" s="691">
        <f t="shared" si="11"/>
        <v>0</v>
      </c>
    </row>
    <row r="204" spans="1:5" ht="24.95" customHeight="1">
      <c r="A204" s="25">
        <v>24</v>
      </c>
      <c r="B204" s="313" t="s">
        <v>341</v>
      </c>
      <c r="C204" s="8" t="s">
        <v>99</v>
      </c>
      <c r="D204" s="691"/>
      <c r="E204" s="691">
        <f t="shared" si="11"/>
        <v>0</v>
      </c>
    </row>
    <row r="205" spans="1:5" ht="24.95" customHeight="1">
      <c r="A205" s="25">
        <v>25</v>
      </c>
      <c r="B205" s="313" t="s">
        <v>343</v>
      </c>
      <c r="C205" s="8" t="s">
        <v>225</v>
      </c>
      <c r="D205" s="691"/>
      <c r="E205" s="691">
        <f t="shared" si="11"/>
        <v>0</v>
      </c>
    </row>
    <row r="206" spans="1:5" ht="24.95" customHeight="1">
      <c r="A206" s="25">
        <v>26</v>
      </c>
      <c r="B206" s="313" t="s">
        <v>345</v>
      </c>
      <c r="C206" s="13" t="s">
        <v>105</v>
      </c>
      <c r="D206" s="691"/>
      <c r="E206" s="691">
        <f t="shared" si="11"/>
        <v>0</v>
      </c>
    </row>
    <row r="207" spans="1:5" ht="24.95" customHeight="1">
      <c r="A207" s="25">
        <v>27</v>
      </c>
      <c r="B207" s="313" t="s">
        <v>347</v>
      </c>
      <c r="C207" s="13" t="s">
        <v>105</v>
      </c>
      <c r="D207" s="691"/>
      <c r="E207" s="691">
        <f t="shared" si="11"/>
        <v>0</v>
      </c>
    </row>
    <row r="208" spans="1:5" ht="24.95" customHeight="1">
      <c r="A208" s="25">
        <v>28</v>
      </c>
      <c r="B208" s="313" t="s">
        <v>349</v>
      </c>
      <c r="C208" s="13" t="s">
        <v>105</v>
      </c>
      <c r="D208" s="691"/>
      <c r="E208" s="691">
        <f t="shared" si="11"/>
        <v>0</v>
      </c>
    </row>
    <row r="209" spans="1:5" ht="24.95" customHeight="1">
      <c r="A209" s="25">
        <v>29</v>
      </c>
      <c r="B209" s="313" t="s">
        <v>351</v>
      </c>
      <c r="C209" s="8" t="s">
        <v>225</v>
      </c>
      <c r="D209" s="691"/>
      <c r="E209" s="691">
        <f t="shared" si="11"/>
        <v>0</v>
      </c>
    </row>
    <row r="210" spans="1:5" ht="24.95" customHeight="1">
      <c r="A210" s="25">
        <v>30</v>
      </c>
      <c r="B210" s="313" t="s">
        <v>352</v>
      </c>
      <c r="C210" s="13" t="s">
        <v>105</v>
      </c>
      <c r="D210" s="691"/>
      <c r="E210" s="691">
        <f t="shared" si="11"/>
        <v>0</v>
      </c>
    </row>
    <row r="211" spans="1:5" ht="24.95" customHeight="1">
      <c r="A211" s="25">
        <v>31</v>
      </c>
      <c r="B211" s="313" t="s">
        <v>353</v>
      </c>
      <c r="C211" s="13" t="s">
        <v>108</v>
      </c>
      <c r="D211" s="955"/>
      <c r="E211" s="691">
        <f t="shared" si="11"/>
        <v>0</v>
      </c>
    </row>
    <row r="212" spans="1:5" ht="24.95" customHeight="1">
      <c r="A212" s="25">
        <v>32</v>
      </c>
      <c r="B212" s="313" t="s">
        <v>355</v>
      </c>
      <c r="C212" s="13" t="s">
        <v>108</v>
      </c>
      <c r="D212" s="955"/>
      <c r="E212" s="691">
        <f t="shared" si="11"/>
        <v>0</v>
      </c>
    </row>
    <row r="213" spans="1:5" ht="24.95" customHeight="1">
      <c r="A213" s="25">
        <v>33</v>
      </c>
      <c r="B213" s="313" t="s">
        <v>356</v>
      </c>
      <c r="C213" s="13" t="s">
        <v>111</v>
      </c>
      <c r="D213" s="691"/>
      <c r="E213" s="691">
        <f t="shared" si="11"/>
        <v>0</v>
      </c>
    </row>
    <row r="214" spans="1:5" ht="24.95" customHeight="1">
      <c r="A214" s="25">
        <v>34</v>
      </c>
      <c r="B214" s="313" t="s">
        <v>357</v>
      </c>
      <c r="C214" s="13" t="s">
        <v>111</v>
      </c>
      <c r="D214" s="691"/>
      <c r="E214" s="691">
        <f t="shared" si="11"/>
        <v>0</v>
      </c>
    </row>
    <row r="215" spans="1:5" ht="24.95" customHeight="1">
      <c r="A215" s="25">
        <v>35</v>
      </c>
      <c r="B215" s="313" t="s">
        <v>358</v>
      </c>
      <c r="C215" s="13" t="s">
        <v>111</v>
      </c>
      <c r="D215" s="691"/>
      <c r="E215" s="691">
        <f t="shared" si="11"/>
        <v>0</v>
      </c>
    </row>
    <row r="216" spans="1:5" ht="24.95" customHeight="1">
      <c r="A216" s="25">
        <v>36</v>
      </c>
      <c r="B216" s="313" t="s">
        <v>359</v>
      </c>
      <c r="C216" s="13" t="s">
        <v>277</v>
      </c>
      <c r="D216" s="691"/>
      <c r="E216" s="691">
        <f t="shared" si="11"/>
        <v>0</v>
      </c>
    </row>
    <row r="217" spans="1:5" ht="24.95" customHeight="1">
      <c r="A217" s="25">
        <v>37</v>
      </c>
      <c r="B217" s="313" t="s">
        <v>360</v>
      </c>
      <c r="C217" s="13" t="s">
        <v>277</v>
      </c>
      <c r="D217" s="691"/>
      <c r="E217" s="691">
        <f t="shared" si="11"/>
        <v>0</v>
      </c>
    </row>
    <row r="218" spans="1:5" ht="24.95" customHeight="1">
      <c r="A218" s="25">
        <v>38</v>
      </c>
      <c r="B218" s="597" t="s">
        <v>361</v>
      </c>
      <c r="C218" s="13" t="s">
        <v>363</v>
      </c>
      <c r="D218" s="959"/>
      <c r="E218" s="691">
        <f t="shared" si="11"/>
        <v>0</v>
      </c>
    </row>
    <row r="219" spans="1:5" ht="24.95" customHeight="1">
      <c r="A219" s="25">
        <v>39</v>
      </c>
      <c r="B219" s="597" t="s">
        <v>364</v>
      </c>
      <c r="C219" s="13" t="s">
        <v>363</v>
      </c>
      <c r="D219" s="959"/>
      <c r="E219" s="691">
        <f t="shared" si="11"/>
        <v>0</v>
      </c>
    </row>
    <row r="220" spans="1:5" ht="24.95" customHeight="1">
      <c r="A220" s="25">
        <v>40</v>
      </c>
      <c r="B220" s="597" t="s">
        <v>365</v>
      </c>
      <c r="C220" s="13" t="s">
        <v>363</v>
      </c>
      <c r="D220" s="959"/>
      <c r="E220" s="691">
        <f t="shared" si="11"/>
        <v>0</v>
      </c>
    </row>
    <row r="221" spans="1:5" ht="24.95" customHeight="1">
      <c r="A221" s="25">
        <v>41</v>
      </c>
      <c r="B221" s="597" t="s">
        <v>366</v>
      </c>
      <c r="C221" s="13" t="s">
        <v>363</v>
      </c>
      <c r="D221" s="959"/>
      <c r="E221" s="691">
        <f t="shared" si="11"/>
        <v>0</v>
      </c>
    </row>
    <row r="222" spans="1:5" ht="24.95" customHeight="1">
      <c r="A222" s="25">
        <v>42</v>
      </c>
      <c r="B222" s="597" t="s">
        <v>367</v>
      </c>
      <c r="C222" s="13" t="s">
        <v>368</v>
      </c>
      <c r="D222" s="959"/>
      <c r="E222" s="691">
        <f t="shared" si="11"/>
        <v>0</v>
      </c>
    </row>
    <row r="223" spans="1:5" ht="24.95" customHeight="1">
      <c r="A223" s="25">
        <v>43</v>
      </c>
      <c r="B223" s="597" t="s">
        <v>369</v>
      </c>
      <c r="C223" s="13" t="s">
        <v>368</v>
      </c>
      <c r="D223" s="959"/>
      <c r="E223" s="691">
        <f t="shared" si="11"/>
        <v>0</v>
      </c>
    </row>
    <row r="224" spans="1:5" ht="24.95" customHeight="1">
      <c r="A224" s="25">
        <v>44</v>
      </c>
      <c r="B224" s="593" t="s">
        <v>370</v>
      </c>
      <c r="C224" s="13" t="s">
        <v>368</v>
      </c>
      <c r="D224" s="959"/>
      <c r="E224" s="691">
        <f t="shared" si="11"/>
        <v>0</v>
      </c>
    </row>
    <row r="225" spans="1:5" ht="24.95" customHeight="1">
      <c r="A225" s="25">
        <v>45</v>
      </c>
      <c r="B225" s="597" t="s">
        <v>371</v>
      </c>
      <c r="C225" s="13" t="s">
        <v>368</v>
      </c>
      <c r="D225" s="959"/>
      <c r="E225" s="691">
        <f t="shared" si="11"/>
        <v>0</v>
      </c>
    </row>
    <row r="226" spans="1:5" ht="24.95" customHeight="1">
      <c r="A226" s="25">
        <v>46</v>
      </c>
      <c r="B226" s="313" t="s">
        <v>372</v>
      </c>
      <c r="C226" s="13" t="s">
        <v>368</v>
      </c>
      <c r="D226" s="959"/>
      <c r="E226" s="691">
        <f t="shared" si="11"/>
        <v>0</v>
      </c>
    </row>
    <row r="227" spans="1:5" ht="24.95" customHeight="1">
      <c r="A227" s="25">
        <v>47</v>
      </c>
      <c r="B227" s="597" t="s">
        <v>373</v>
      </c>
      <c r="C227" s="13" t="s">
        <v>374</v>
      </c>
      <c r="D227" s="691"/>
      <c r="E227" s="691">
        <f t="shared" si="11"/>
        <v>0</v>
      </c>
    </row>
    <row r="228" spans="1:5" ht="24.95" customHeight="1">
      <c r="A228" s="25">
        <v>48</v>
      </c>
      <c r="B228" s="597" t="s">
        <v>375</v>
      </c>
      <c r="C228" s="13" t="s">
        <v>374</v>
      </c>
      <c r="D228" s="691"/>
      <c r="E228" s="691">
        <f t="shared" si="11"/>
        <v>0</v>
      </c>
    </row>
    <row r="229" spans="1:5" ht="24.95" customHeight="1">
      <c r="A229" s="25">
        <v>49</v>
      </c>
      <c r="B229" s="313" t="s">
        <v>376</v>
      </c>
      <c r="C229" s="13" t="s">
        <v>377</v>
      </c>
      <c r="D229" s="691"/>
      <c r="E229" s="691">
        <f t="shared" si="11"/>
        <v>0</v>
      </c>
    </row>
    <row r="230" spans="1:5" ht="24.95" customHeight="1">
      <c r="A230" s="25">
        <v>50</v>
      </c>
      <c r="B230" s="597" t="s">
        <v>378</v>
      </c>
      <c r="C230" s="13" t="s">
        <v>379</v>
      </c>
      <c r="D230" s="691"/>
      <c r="E230" s="691">
        <f t="shared" si="11"/>
        <v>0</v>
      </c>
    </row>
    <row r="231" spans="1:5" ht="24.95" customHeight="1">
      <c r="A231" s="25">
        <v>51</v>
      </c>
      <c r="B231" s="597" t="s">
        <v>380</v>
      </c>
      <c r="C231" s="13" t="s">
        <v>379</v>
      </c>
      <c r="D231" s="691"/>
      <c r="E231" s="691">
        <f t="shared" si="11"/>
        <v>0</v>
      </c>
    </row>
    <row r="232" spans="1:5" ht="24.95" customHeight="1">
      <c r="A232" s="25">
        <v>52</v>
      </c>
      <c r="B232" s="597" t="s">
        <v>381</v>
      </c>
      <c r="C232" s="13" t="s">
        <v>379</v>
      </c>
      <c r="D232" s="691"/>
      <c r="E232" s="691">
        <f t="shared" si="11"/>
        <v>0</v>
      </c>
    </row>
    <row r="233" spans="1:5" ht="24.95" customHeight="1">
      <c r="A233" s="25">
        <v>53</v>
      </c>
      <c r="B233" s="597" t="s">
        <v>382</v>
      </c>
      <c r="C233" s="13" t="s">
        <v>379</v>
      </c>
      <c r="D233" s="691"/>
      <c r="E233" s="691">
        <f t="shared" si="11"/>
        <v>0</v>
      </c>
    </row>
    <row r="234" spans="1:5" ht="24.95" customHeight="1">
      <c r="A234" s="25">
        <v>54</v>
      </c>
      <c r="B234" s="597" t="s">
        <v>383</v>
      </c>
      <c r="C234" s="13" t="s">
        <v>379</v>
      </c>
      <c r="D234" s="691"/>
      <c r="E234" s="691">
        <f t="shared" si="11"/>
        <v>0</v>
      </c>
    </row>
    <row r="235" spans="1:5" ht="24.95" customHeight="1">
      <c r="A235" s="25">
        <v>55</v>
      </c>
      <c r="B235" s="597" t="s">
        <v>384</v>
      </c>
      <c r="C235" s="13" t="s">
        <v>379</v>
      </c>
      <c r="D235" s="691"/>
      <c r="E235" s="691">
        <f t="shared" si="11"/>
        <v>0</v>
      </c>
    </row>
    <row r="236" spans="1:5" ht="24.95" customHeight="1">
      <c r="A236" s="25">
        <v>56</v>
      </c>
      <c r="B236" s="313" t="s">
        <v>385</v>
      </c>
      <c r="C236" s="13" t="s">
        <v>386</v>
      </c>
      <c r="D236" s="691"/>
      <c r="E236" s="691">
        <f t="shared" si="11"/>
        <v>0</v>
      </c>
    </row>
    <row r="237" spans="1:5" ht="24.95" customHeight="1">
      <c r="A237" s="25">
        <v>57</v>
      </c>
      <c r="B237" s="313" t="s">
        <v>387</v>
      </c>
      <c r="C237" s="13" t="s">
        <v>390</v>
      </c>
      <c r="D237" s="691"/>
      <c r="E237" s="691">
        <f t="shared" si="11"/>
        <v>0</v>
      </c>
    </row>
    <row r="238" spans="1:5" ht="24.95" customHeight="1">
      <c r="A238" s="25">
        <v>58</v>
      </c>
      <c r="B238" s="597" t="s">
        <v>388</v>
      </c>
      <c r="C238" s="13" t="s">
        <v>390</v>
      </c>
      <c r="D238" s="691"/>
      <c r="E238" s="691">
        <f t="shared" si="11"/>
        <v>0</v>
      </c>
    </row>
    <row r="239" spans="1:5" ht="24.95" customHeight="1">
      <c r="A239" s="25">
        <v>59</v>
      </c>
      <c r="B239" s="313" t="s">
        <v>391</v>
      </c>
      <c r="C239" s="13" t="s">
        <v>393</v>
      </c>
      <c r="D239" s="691"/>
      <c r="E239" s="691">
        <f t="shared" si="11"/>
        <v>0</v>
      </c>
    </row>
    <row r="240" spans="1:5" ht="24.95" customHeight="1">
      <c r="A240" s="25">
        <v>60</v>
      </c>
      <c r="B240" s="313" t="s">
        <v>394</v>
      </c>
      <c r="C240" s="13" t="s">
        <v>395</v>
      </c>
      <c r="D240" s="691"/>
      <c r="E240" s="691">
        <f t="shared" si="11"/>
        <v>0</v>
      </c>
    </row>
    <row r="241" spans="1:5" ht="24.95" customHeight="1">
      <c r="A241" s="25">
        <v>61</v>
      </c>
      <c r="B241" s="313" t="s">
        <v>396</v>
      </c>
      <c r="C241" s="13" t="s">
        <v>397</v>
      </c>
      <c r="D241" s="691"/>
      <c r="E241" s="691">
        <f t="shared" si="11"/>
        <v>0</v>
      </c>
    </row>
    <row r="242" spans="1:5" ht="24.95" customHeight="1">
      <c r="A242" s="25">
        <v>62</v>
      </c>
      <c r="B242" s="313" t="s">
        <v>398</v>
      </c>
      <c r="C242" s="13" t="s">
        <v>400</v>
      </c>
      <c r="D242" s="691"/>
      <c r="E242" s="691">
        <f t="shared" si="11"/>
        <v>0</v>
      </c>
    </row>
    <row r="243" spans="1:5" ht="24.95" customHeight="1">
      <c r="A243" s="25">
        <v>63</v>
      </c>
      <c r="B243" s="313" t="s">
        <v>401</v>
      </c>
      <c r="C243" s="13" t="s">
        <v>400</v>
      </c>
      <c r="D243" s="691"/>
      <c r="E243" s="691">
        <f t="shared" si="11"/>
        <v>0</v>
      </c>
    </row>
    <row r="244" spans="1:5" ht="24.95" customHeight="1">
      <c r="A244" s="25">
        <v>64</v>
      </c>
      <c r="B244" s="313" t="s">
        <v>402</v>
      </c>
      <c r="C244" s="13" t="s">
        <v>400</v>
      </c>
      <c r="D244" s="691"/>
      <c r="E244" s="691">
        <f t="shared" si="11"/>
        <v>0</v>
      </c>
    </row>
    <row r="245" spans="1:5" ht="24.95" customHeight="1">
      <c r="A245" s="25">
        <v>65</v>
      </c>
      <c r="B245" s="313" t="s">
        <v>403</v>
      </c>
      <c r="C245" s="13" t="s">
        <v>405</v>
      </c>
      <c r="D245" s="691"/>
      <c r="E245" s="691">
        <f>D245*0.2</f>
        <v>0</v>
      </c>
    </row>
    <row r="246" spans="1:5" ht="24.95" customHeight="1">
      <c r="A246" s="25">
        <v>66</v>
      </c>
      <c r="B246" s="313" t="s">
        <v>406</v>
      </c>
      <c r="C246" s="13" t="s">
        <v>405</v>
      </c>
      <c r="D246" s="691"/>
      <c r="E246" s="691">
        <f>D246*0.2</f>
        <v>0</v>
      </c>
    </row>
    <row r="247" spans="1:5" ht="24.95" customHeight="1">
      <c r="A247" s="25"/>
      <c r="B247" s="6" t="s">
        <v>120</v>
      </c>
      <c r="C247" s="27"/>
      <c r="D247" s="821">
        <f>SUM(D181:D246)</f>
        <v>0</v>
      </c>
      <c r="E247" s="821">
        <f>SUM(E181:E246)</f>
        <v>0</v>
      </c>
    </row>
    <row r="248" spans="1:5" ht="24.95" customHeight="1">
      <c r="A248" s="2"/>
      <c r="B248" s="28" t="s">
        <v>408</v>
      </c>
      <c r="C248" s="30"/>
      <c r="D248" s="960">
        <f>D247+D178+D163+D155+D144+D130+D120+D104+D90+D76+D71+D56+D46</f>
        <v>7750000</v>
      </c>
      <c r="E248" s="960">
        <f>E247+E178+E163+E155+E144+E130+E120+E104+E90+E76+E71+E56+E46</f>
        <v>1550000</v>
      </c>
    </row>
  </sheetData>
  <mergeCells count="1">
    <mergeCell ref="A1:E1"/>
  </mergeCells>
  <pageMargins left="0.75" right="0.75" top="1" bottom="1" header="0.5" footer="0.5"/>
  <pageSetup paperSize="25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20"/>
  <sheetViews>
    <sheetView view="pageBreakPreview" zoomScaleNormal="100" workbookViewId="0">
      <selection activeCell="K9" sqref="K9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156" t="s">
        <v>518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</row>
    <row r="2" spans="1:11" ht="18.75">
      <c r="A2" s="1156" t="s">
        <v>519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50"/>
      <c r="J3" s="950"/>
      <c r="K3" s="950"/>
    </row>
    <row r="4" spans="1:11" ht="41.1" customHeight="1">
      <c r="A4" s="703" t="s">
        <v>520</v>
      </c>
      <c r="B4" s="931" t="s">
        <v>521</v>
      </c>
      <c r="C4" s="931" t="s">
        <v>522</v>
      </c>
      <c r="D4" s="931" t="s">
        <v>523</v>
      </c>
      <c r="E4" s="931" t="s">
        <v>524</v>
      </c>
      <c r="F4" s="931" t="s">
        <v>525</v>
      </c>
      <c r="G4" s="931" t="s">
        <v>526</v>
      </c>
      <c r="H4" s="931" t="s">
        <v>527</v>
      </c>
      <c r="I4" s="931" t="s">
        <v>528</v>
      </c>
      <c r="J4" s="931" t="s">
        <v>529</v>
      </c>
      <c r="K4" s="931" t="s">
        <v>530</v>
      </c>
    </row>
    <row r="5" spans="1:11" ht="14.25">
      <c r="A5" s="703"/>
      <c r="B5" s="939"/>
      <c r="C5" s="940"/>
      <c r="D5" s="940"/>
      <c r="E5" s="940"/>
      <c r="F5" s="941" t="s">
        <v>21</v>
      </c>
      <c r="G5" s="941" t="s">
        <v>21</v>
      </c>
      <c r="H5" s="941" t="s">
        <v>21</v>
      </c>
      <c r="I5" s="941"/>
      <c r="J5" s="941"/>
      <c r="K5" s="941" t="s">
        <v>21</v>
      </c>
    </row>
    <row r="6" spans="1:11" ht="30" customHeight="1">
      <c r="A6" s="709">
        <v>1</v>
      </c>
      <c r="B6" s="942" t="s">
        <v>531</v>
      </c>
      <c r="C6" s="943" t="s">
        <v>532</v>
      </c>
      <c r="D6" s="1114" t="s">
        <v>533</v>
      </c>
      <c r="E6" s="942" t="s">
        <v>534</v>
      </c>
      <c r="F6" s="945">
        <v>592662.66666666698</v>
      </c>
      <c r="G6" s="945">
        <f>'[2]Peculiar Allowance'!$H$41+'[2] FGN 2024 MGT Monthly'!$H$41+120000</f>
        <v>602846.58333333302</v>
      </c>
      <c r="H6" s="945">
        <f>G6-F6</f>
        <v>10183.9166666664</v>
      </c>
      <c r="I6" s="943" t="s">
        <v>535</v>
      </c>
      <c r="J6" s="951">
        <f>1+(12/31)</f>
        <v>1.38709677419355</v>
      </c>
      <c r="K6" s="945">
        <f>H6*J6</f>
        <v>14126.0779569889</v>
      </c>
    </row>
    <row r="7" spans="1:11" ht="30" customHeight="1">
      <c r="A7" s="709">
        <v>2</v>
      </c>
      <c r="B7" s="942" t="s">
        <v>536</v>
      </c>
      <c r="C7" s="943" t="s">
        <v>537</v>
      </c>
      <c r="D7" s="1114" t="s">
        <v>538</v>
      </c>
      <c r="E7" s="942" t="s">
        <v>539</v>
      </c>
      <c r="F7" s="945">
        <v>499131.16666666698</v>
      </c>
      <c r="G7" s="945">
        <f>'[2] FGN 2024 MGT Monthly'!$H$40+'[2]Peculiar Allowance'!$H$40+110000</f>
        <v>551159</v>
      </c>
      <c r="H7" s="945">
        <f>G7-F7</f>
        <v>52027.833333333001</v>
      </c>
      <c r="I7" s="943" t="s">
        <v>540</v>
      </c>
      <c r="J7" s="951">
        <f>19+(7/30)</f>
        <v>19.233333333333299</v>
      </c>
      <c r="K7" s="945">
        <f>H7*J7</f>
        <v>1000668.66111111</v>
      </c>
    </row>
    <row r="8" spans="1:11" ht="30" customHeight="1">
      <c r="A8" s="709">
        <v>3</v>
      </c>
      <c r="B8" s="942" t="s">
        <v>541</v>
      </c>
      <c r="C8" s="943" t="s">
        <v>532</v>
      </c>
      <c r="D8" s="1114" t="s">
        <v>542</v>
      </c>
      <c r="E8" s="942" t="s">
        <v>543</v>
      </c>
      <c r="F8" s="945">
        <v>415930.58333333302</v>
      </c>
      <c r="G8" s="945">
        <f>330408.083333333+100000</f>
        <v>430408.08333333302</v>
      </c>
      <c r="H8" s="945">
        <f>G8-F8</f>
        <v>14477.5</v>
      </c>
      <c r="I8" s="943" t="s">
        <v>544</v>
      </c>
      <c r="J8" s="951">
        <v>8</v>
      </c>
      <c r="K8" s="945">
        <f>H8*J8</f>
        <v>115820</v>
      </c>
    </row>
    <row r="9" spans="1:11" ht="30" customHeight="1">
      <c r="A9" s="709">
        <v>4</v>
      </c>
      <c r="B9" s="942" t="s">
        <v>545</v>
      </c>
      <c r="C9" s="943" t="s">
        <v>546</v>
      </c>
      <c r="D9" s="1114" t="s">
        <v>547</v>
      </c>
      <c r="E9" s="942" t="s">
        <v>548</v>
      </c>
      <c r="F9" s="945">
        <v>176217.75</v>
      </c>
      <c r="G9" s="945">
        <v>252750.58333333299</v>
      </c>
      <c r="H9" s="945">
        <f>G9-F9</f>
        <v>76532.833333332994</v>
      </c>
      <c r="I9" s="943" t="s">
        <v>549</v>
      </c>
      <c r="J9" s="951">
        <f>3+(4/31)</f>
        <v>3.12903225806452</v>
      </c>
      <c r="K9" s="945">
        <f>H9*J9</f>
        <v>239473.704301074</v>
      </c>
    </row>
    <row r="10" spans="1:11" ht="27.95" customHeight="1">
      <c r="A10" s="946"/>
      <c r="B10" s="946" t="s">
        <v>120</v>
      </c>
      <c r="C10" s="946"/>
      <c r="D10" s="946"/>
      <c r="E10" s="946"/>
      <c r="F10" s="945"/>
      <c r="G10" s="945"/>
      <c r="H10" s="953">
        <f>SUM(H6:H6)</f>
        <v>10183.9166666664</v>
      </c>
      <c r="I10" s="946"/>
      <c r="J10" s="952"/>
      <c r="K10" s="953">
        <f>SUM(K6:K9)</f>
        <v>1370088.44336917</v>
      </c>
    </row>
    <row r="11" spans="1:11" ht="15">
      <c r="A11" s="949"/>
      <c r="B11" s="949"/>
      <c r="C11" s="949"/>
      <c r="D11" s="949"/>
      <c r="E11" s="949"/>
      <c r="F11" s="949"/>
      <c r="G11" s="949"/>
      <c r="H11" s="949"/>
      <c r="I11" s="949"/>
      <c r="J11" s="949"/>
      <c r="K11" s="949"/>
    </row>
    <row r="12" spans="1:11" ht="15">
      <c r="A12" s="949"/>
      <c r="B12" s="949"/>
      <c r="C12" s="949"/>
      <c r="D12" s="949"/>
      <c r="E12" s="949"/>
      <c r="F12" s="949"/>
      <c r="G12" s="949"/>
      <c r="H12" s="949"/>
      <c r="I12" s="949"/>
      <c r="J12" s="949"/>
      <c r="K12" s="949"/>
    </row>
    <row r="13" spans="1:11" ht="15">
      <c r="A13" s="949"/>
      <c r="B13" s="949"/>
      <c r="C13" s="949"/>
      <c r="D13" s="949"/>
      <c r="E13" s="949"/>
      <c r="F13" s="949"/>
      <c r="G13" s="949"/>
      <c r="H13" s="949"/>
      <c r="I13" s="949"/>
      <c r="J13" s="949"/>
      <c r="K13" s="949"/>
    </row>
    <row r="14" spans="1:11" ht="15">
      <c r="A14" s="949"/>
      <c r="B14" s="949"/>
      <c r="C14" s="949"/>
      <c r="D14" s="949"/>
      <c r="E14" s="949"/>
      <c r="F14" s="949"/>
      <c r="G14" s="949"/>
      <c r="H14" s="949"/>
      <c r="I14" s="949"/>
      <c r="J14" s="949"/>
      <c r="K14" s="949"/>
    </row>
    <row r="15" spans="1:11" ht="15">
      <c r="A15" s="949"/>
      <c r="B15" s="949"/>
      <c r="C15" s="949"/>
      <c r="D15" s="949"/>
      <c r="E15" s="949"/>
      <c r="F15" s="949"/>
      <c r="G15" s="949"/>
      <c r="H15" s="949"/>
      <c r="I15" s="949"/>
      <c r="J15" s="949"/>
      <c r="K15" s="949"/>
    </row>
    <row r="16" spans="1:11" ht="15">
      <c r="A16" s="949"/>
      <c r="B16" s="949"/>
      <c r="C16" s="949"/>
      <c r="D16" s="949"/>
      <c r="E16" s="949"/>
      <c r="F16" s="949"/>
      <c r="G16" s="949"/>
      <c r="H16" s="949"/>
      <c r="I16" s="949"/>
      <c r="J16" s="949"/>
      <c r="K16" s="949"/>
    </row>
    <row r="17" spans="1:11" ht="15">
      <c r="A17" s="949"/>
      <c r="B17" s="949"/>
      <c r="C17" s="949"/>
      <c r="D17" s="949"/>
      <c r="E17" s="949"/>
      <c r="F17" s="949"/>
      <c r="G17" s="949"/>
      <c r="H17" s="949"/>
      <c r="I17" s="949"/>
      <c r="J17" s="949"/>
      <c r="K17" s="949"/>
    </row>
    <row r="18" spans="1:11" ht="15">
      <c r="A18" s="949"/>
      <c r="B18" s="949"/>
      <c r="C18" s="949"/>
      <c r="D18" s="949"/>
      <c r="E18" s="949"/>
      <c r="F18" s="949"/>
      <c r="G18" s="949"/>
      <c r="H18" s="949"/>
      <c r="I18" s="949"/>
      <c r="J18" s="949"/>
      <c r="K18" s="949"/>
    </row>
    <row r="19" spans="1:11" ht="15">
      <c r="A19" s="949"/>
      <c r="B19" s="949"/>
      <c r="C19" s="949"/>
      <c r="D19" s="949"/>
      <c r="E19" s="949"/>
      <c r="F19" s="949"/>
      <c r="G19" s="949"/>
      <c r="H19" s="949"/>
      <c r="I19" s="949"/>
      <c r="J19" s="949"/>
      <c r="K19" s="949"/>
    </row>
    <row r="20" spans="1:11" ht="15">
      <c r="A20" s="949"/>
      <c r="B20" s="949"/>
      <c r="C20" s="949"/>
      <c r="D20" s="949"/>
      <c r="E20" s="949"/>
      <c r="F20" s="949"/>
      <c r="G20" s="949"/>
      <c r="H20" s="949"/>
      <c r="I20" s="949"/>
      <c r="J20" s="949"/>
      <c r="K20" s="949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7" sqref="I17"/>
    </sheetView>
  </sheetViews>
  <sheetFormatPr defaultColWidth="8.7109375" defaultRowHeight="12.7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zoomScale="90" zoomScaleNormal="90" zoomScaleSheetLayoutView="50" workbookViewId="0">
      <pane xSplit="3" ySplit="7" topLeftCell="D242" activePane="bottomRight" state="frozen"/>
      <selection pane="topRight"/>
      <selection pane="bottomLeft"/>
      <selection pane="bottomRight" activeCell="E5" sqref="E5"/>
    </sheetView>
  </sheetViews>
  <sheetFormatPr defaultColWidth="9.140625" defaultRowHeight="20.100000000000001" customHeight="1"/>
  <cols>
    <col min="1" max="1" width="5.42578125" style="1" customWidth="1"/>
    <col min="2" max="2" width="42.140625" style="1" customWidth="1"/>
    <col min="3" max="3" width="35.5703125" style="1" customWidth="1"/>
    <col min="4" max="4" width="12.7109375" style="1" customWidth="1"/>
    <col min="5" max="5" width="16.85546875" style="1" customWidth="1"/>
    <col min="6" max="6" width="16.42578125" style="1" customWidth="1"/>
    <col min="7" max="7" width="16.85546875" style="1" customWidth="1"/>
    <col min="8" max="8" width="12.5703125" style="1" customWidth="1"/>
    <col min="9" max="16384" width="9.140625" style="1"/>
  </cols>
  <sheetData>
    <row r="1" spans="1:7" ht="27" customHeight="1">
      <c r="A1" s="1155" t="s">
        <v>0</v>
      </c>
      <c r="B1" s="1155"/>
      <c r="C1" s="1155"/>
      <c r="D1" s="1155"/>
      <c r="E1" s="1155"/>
    </row>
    <row r="2" spans="1:7" ht="33.75" customHeight="1">
      <c r="A2" s="202" t="s">
        <v>550</v>
      </c>
      <c r="B2" s="62"/>
      <c r="C2" s="62"/>
      <c r="D2" s="61"/>
      <c r="E2" s="63"/>
    </row>
    <row r="3" spans="1:7" ht="9.75" customHeight="1"/>
    <row r="4" spans="1:7" ht="49.5" customHeight="1">
      <c r="A4" s="964"/>
      <c r="B4" s="965" t="s">
        <v>2</v>
      </c>
      <c r="C4" s="966" t="s">
        <v>3</v>
      </c>
      <c r="D4" s="967" t="s">
        <v>4</v>
      </c>
      <c r="E4" s="968" t="s">
        <v>551</v>
      </c>
      <c r="F4" s="968" t="s">
        <v>552</v>
      </c>
      <c r="G4" s="968" t="s">
        <v>553</v>
      </c>
    </row>
    <row r="5" spans="1:7" ht="17.25" customHeight="1">
      <c r="C5" s="66"/>
      <c r="D5" s="6"/>
      <c r="E5" s="969" t="s">
        <v>21</v>
      </c>
      <c r="F5" s="970" t="s">
        <v>21</v>
      </c>
      <c r="G5" s="851" t="s">
        <v>21</v>
      </c>
    </row>
    <row r="6" spans="1:7" ht="20.100000000000001" customHeight="1">
      <c r="A6" s="7" t="s">
        <v>22</v>
      </c>
      <c r="B6" s="6" t="s">
        <v>23</v>
      </c>
      <c r="C6" s="6"/>
      <c r="D6" s="6"/>
      <c r="E6" s="969"/>
      <c r="F6" s="971"/>
      <c r="G6" s="851"/>
    </row>
    <row r="7" spans="1:7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972">
        <v>2000000</v>
      </c>
      <c r="F7" s="962"/>
      <c r="G7" s="865">
        <f>E7</f>
        <v>2000000</v>
      </c>
    </row>
    <row r="8" spans="1:7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972">
        <v>700000</v>
      </c>
      <c r="F8" s="962"/>
      <c r="G8" s="865">
        <f>E8</f>
        <v>700000</v>
      </c>
    </row>
    <row r="9" spans="1:7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972">
        <v>700000</v>
      </c>
      <c r="F9" s="962"/>
      <c r="G9" s="865">
        <f>E9</f>
        <v>700000</v>
      </c>
    </row>
    <row r="10" spans="1:7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972">
        <v>700000</v>
      </c>
      <c r="F10" s="962"/>
      <c r="G10" s="865">
        <f>E10</f>
        <v>700000</v>
      </c>
    </row>
    <row r="11" spans="1:7" ht="20.100000000000001" customHeight="1">
      <c r="A11" s="8">
        <v>5</v>
      </c>
      <c r="B11" s="9" t="s">
        <v>34</v>
      </c>
      <c r="C11" s="10" t="s">
        <v>35</v>
      </c>
      <c r="D11" s="13" t="s">
        <v>36</v>
      </c>
      <c r="E11" s="972">
        <v>700000</v>
      </c>
      <c r="F11" s="962"/>
      <c r="G11" s="865">
        <f t="shared" ref="G11:G17" si="0">E11</f>
        <v>700000</v>
      </c>
    </row>
    <row r="12" spans="1:7" ht="20.100000000000001" customHeight="1">
      <c r="A12" s="8">
        <v>6</v>
      </c>
      <c r="B12" s="9" t="s">
        <v>37</v>
      </c>
      <c r="C12" s="2" t="s">
        <v>38</v>
      </c>
      <c r="D12" s="8" t="s">
        <v>39</v>
      </c>
      <c r="E12" s="972">
        <v>700000</v>
      </c>
      <c r="F12" s="962"/>
      <c r="G12" s="865">
        <f t="shared" si="0"/>
        <v>700000</v>
      </c>
    </row>
    <row r="13" spans="1:7" ht="20.100000000000001" customHeight="1">
      <c r="A13" s="8">
        <v>7</v>
      </c>
      <c r="B13" s="9" t="s">
        <v>40</v>
      </c>
      <c r="C13" s="2" t="s">
        <v>41</v>
      </c>
      <c r="D13" s="13" t="s">
        <v>42</v>
      </c>
      <c r="E13" s="972">
        <v>700000</v>
      </c>
      <c r="F13" s="962"/>
      <c r="G13" s="865">
        <f t="shared" si="0"/>
        <v>700000</v>
      </c>
    </row>
    <row r="14" spans="1:7" ht="20.100000000000001" customHeight="1">
      <c r="A14" s="8">
        <v>8</v>
      </c>
      <c r="B14" s="12" t="s">
        <v>43</v>
      </c>
      <c r="C14" s="15" t="s">
        <v>44</v>
      </c>
      <c r="D14" s="13" t="s">
        <v>39</v>
      </c>
      <c r="E14" s="972">
        <v>700000</v>
      </c>
      <c r="F14" s="962"/>
      <c r="G14" s="865">
        <f t="shared" si="0"/>
        <v>700000</v>
      </c>
    </row>
    <row r="15" spans="1:7" ht="20.100000000000001" customHeight="1">
      <c r="A15" s="8">
        <v>9</v>
      </c>
      <c r="B15" s="9" t="s">
        <v>45</v>
      </c>
      <c r="C15" s="2" t="s">
        <v>46</v>
      </c>
      <c r="D15" s="8" t="s">
        <v>47</v>
      </c>
      <c r="E15" s="972">
        <v>500000</v>
      </c>
      <c r="F15" s="962"/>
      <c r="G15" s="865">
        <f t="shared" si="0"/>
        <v>500000</v>
      </c>
    </row>
    <row r="16" spans="1:7" ht="20.100000000000001" customHeight="1">
      <c r="A16" s="8">
        <v>10</v>
      </c>
      <c r="B16" s="9" t="s">
        <v>48</v>
      </c>
      <c r="C16" s="2" t="s">
        <v>49</v>
      </c>
      <c r="D16" s="8" t="s">
        <v>50</v>
      </c>
      <c r="E16" s="972">
        <v>500000</v>
      </c>
      <c r="F16" s="962"/>
      <c r="G16" s="865">
        <f t="shared" si="0"/>
        <v>500000</v>
      </c>
    </row>
    <row r="17" spans="1:7" ht="20.100000000000001" customHeight="1">
      <c r="A17" s="8">
        <v>11</v>
      </c>
      <c r="B17" s="9" t="s">
        <v>51</v>
      </c>
      <c r="C17" s="10" t="s">
        <v>52</v>
      </c>
      <c r="D17" s="8" t="s">
        <v>53</v>
      </c>
      <c r="E17" s="972">
        <v>500000</v>
      </c>
      <c r="F17" s="962"/>
      <c r="G17" s="865">
        <f t="shared" si="0"/>
        <v>500000</v>
      </c>
    </row>
    <row r="18" spans="1:7" ht="20.100000000000001" customHeight="1">
      <c r="A18" s="8">
        <v>12</v>
      </c>
      <c r="B18" s="16" t="s">
        <v>54</v>
      </c>
      <c r="C18" s="2" t="s">
        <v>55</v>
      </c>
      <c r="D18" s="13" t="s">
        <v>56</v>
      </c>
      <c r="E18" s="972">
        <v>500000</v>
      </c>
      <c r="F18" s="962">
        <f>E18</f>
        <v>500000</v>
      </c>
      <c r="G18" s="865"/>
    </row>
    <row r="19" spans="1:7" ht="20.100000000000001" customHeight="1">
      <c r="A19" s="8">
        <v>13</v>
      </c>
      <c r="B19" s="16" t="s">
        <v>57</v>
      </c>
      <c r="C19" s="2" t="s">
        <v>58</v>
      </c>
      <c r="D19" s="13" t="s">
        <v>59</v>
      </c>
      <c r="E19" s="972">
        <v>500000</v>
      </c>
      <c r="F19" s="962">
        <f t="shared" ref="F19:F46" si="1">E19</f>
        <v>500000</v>
      </c>
      <c r="G19" s="861"/>
    </row>
    <row r="20" spans="1:7" ht="20.100000000000001" customHeight="1">
      <c r="A20" s="8">
        <v>14</v>
      </c>
      <c r="B20" s="16" t="s">
        <v>60</v>
      </c>
      <c r="C20" s="2" t="s">
        <v>61</v>
      </c>
      <c r="D20" s="13" t="s">
        <v>59</v>
      </c>
      <c r="E20" s="972">
        <v>500000</v>
      </c>
      <c r="F20" s="962">
        <f t="shared" si="1"/>
        <v>500000</v>
      </c>
      <c r="G20" s="973"/>
    </row>
    <row r="21" spans="1:7" ht="20.100000000000001" customHeight="1">
      <c r="A21" s="8">
        <v>15</v>
      </c>
      <c r="B21" s="9" t="s">
        <v>62</v>
      </c>
      <c r="C21" s="10" t="s">
        <v>63</v>
      </c>
      <c r="D21" s="13" t="s">
        <v>64</v>
      </c>
      <c r="E21" s="972">
        <v>500000</v>
      </c>
      <c r="F21" s="962">
        <f t="shared" si="1"/>
        <v>500000</v>
      </c>
      <c r="G21" s="865"/>
    </row>
    <row r="22" spans="1:7" ht="18.75" customHeight="1">
      <c r="A22" s="8">
        <v>16</v>
      </c>
      <c r="B22" s="9" t="s">
        <v>65</v>
      </c>
      <c r="C22" s="2" t="s">
        <v>66</v>
      </c>
      <c r="D22" s="13" t="s">
        <v>67</v>
      </c>
      <c r="E22" s="972">
        <v>500000</v>
      </c>
      <c r="F22" s="962">
        <f t="shared" si="1"/>
        <v>500000</v>
      </c>
      <c r="G22" s="865"/>
    </row>
    <row r="23" spans="1:7" ht="20.100000000000001" customHeight="1">
      <c r="A23" s="8">
        <v>17</v>
      </c>
      <c r="B23" s="12" t="s">
        <v>68</v>
      </c>
      <c r="C23" s="15" t="s">
        <v>69</v>
      </c>
      <c r="D23" s="8" t="s">
        <v>70</v>
      </c>
      <c r="E23" s="972">
        <v>400000</v>
      </c>
      <c r="F23" s="962">
        <f t="shared" si="1"/>
        <v>400000</v>
      </c>
      <c r="G23" s="865"/>
    </row>
    <row r="24" spans="1:7" ht="21.6" customHeight="1">
      <c r="A24" s="8">
        <v>18</v>
      </c>
      <c r="B24" s="9" t="s">
        <v>71</v>
      </c>
      <c r="C24" s="15" t="s">
        <v>72</v>
      </c>
      <c r="D24" s="13" t="s">
        <v>70</v>
      </c>
      <c r="E24" s="972">
        <v>400000</v>
      </c>
      <c r="F24" s="962">
        <f t="shared" si="1"/>
        <v>400000</v>
      </c>
      <c r="G24" s="865"/>
    </row>
    <row r="25" spans="1:7" ht="20.100000000000001" customHeight="1">
      <c r="A25" s="8">
        <v>19</v>
      </c>
      <c r="B25" s="12" t="s">
        <v>73</v>
      </c>
      <c r="C25" s="15" t="s">
        <v>74</v>
      </c>
      <c r="D25" s="8" t="s">
        <v>75</v>
      </c>
      <c r="E25" s="972">
        <v>300000</v>
      </c>
      <c r="F25" s="962">
        <f t="shared" si="1"/>
        <v>300000</v>
      </c>
      <c r="G25" s="865"/>
    </row>
    <row r="26" spans="1:7" ht="20.100000000000001" customHeight="1">
      <c r="A26" s="8">
        <v>20</v>
      </c>
      <c r="B26" s="12" t="s">
        <v>76</v>
      </c>
      <c r="C26" s="15" t="s">
        <v>77</v>
      </c>
      <c r="D26" s="8" t="s">
        <v>78</v>
      </c>
      <c r="E26" s="972">
        <v>300000</v>
      </c>
      <c r="F26" s="962">
        <f t="shared" si="1"/>
        <v>300000</v>
      </c>
      <c r="G26" s="865"/>
    </row>
    <row r="27" spans="1:7" ht="18.75" customHeight="1">
      <c r="A27" s="8">
        <v>21</v>
      </c>
      <c r="B27" s="16" t="s">
        <v>79</v>
      </c>
      <c r="C27" s="10" t="s">
        <v>80</v>
      </c>
      <c r="D27" s="13" t="s">
        <v>81</v>
      </c>
      <c r="E27" s="972">
        <v>300000</v>
      </c>
      <c r="F27" s="962">
        <f t="shared" si="1"/>
        <v>300000</v>
      </c>
      <c r="G27" s="865"/>
    </row>
    <row r="28" spans="1:7" ht="20.100000000000001" customHeight="1">
      <c r="A28" s="8">
        <v>22</v>
      </c>
      <c r="B28" s="9" t="s">
        <v>82</v>
      </c>
      <c r="C28" s="2" t="s">
        <v>83</v>
      </c>
      <c r="D28" s="13" t="s">
        <v>75</v>
      </c>
      <c r="E28" s="972">
        <v>300000</v>
      </c>
      <c r="F28" s="962">
        <f t="shared" si="1"/>
        <v>300000</v>
      </c>
      <c r="G28" s="865"/>
    </row>
    <row r="29" spans="1:7" ht="18.75" customHeight="1">
      <c r="A29" s="8">
        <v>23</v>
      </c>
      <c r="B29" s="16" t="s">
        <v>84</v>
      </c>
      <c r="C29" s="10" t="s">
        <v>85</v>
      </c>
      <c r="D29" s="13" t="s">
        <v>154</v>
      </c>
      <c r="E29" s="972">
        <v>300000</v>
      </c>
      <c r="F29" s="962">
        <f t="shared" si="1"/>
        <v>300000</v>
      </c>
      <c r="G29" s="865"/>
    </row>
    <row r="30" spans="1:7" ht="18.75" customHeight="1">
      <c r="A30" s="8">
        <v>24</v>
      </c>
      <c r="B30" s="16" t="s">
        <v>87</v>
      </c>
      <c r="C30" s="2" t="s">
        <v>88</v>
      </c>
      <c r="D30" s="8" t="s">
        <v>86</v>
      </c>
      <c r="E30" s="972">
        <v>300000</v>
      </c>
      <c r="F30" s="962">
        <f t="shared" si="1"/>
        <v>300000</v>
      </c>
      <c r="G30" s="865"/>
    </row>
    <row r="31" spans="1:7" ht="18.75" customHeight="1">
      <c r="A31" s="8">
        <v>25</v>
      </c>
      <c r="B31" s="16" t="s">
        <v>89</v>
      </c>
      <c r="C31" s="2" t="s">
        <v>90</v>
      </c>
      <c r="D31" s="13" t="s">
        <v>81</v>
      </c>
      <c r="E31" s="972">
        <v>300000</v>
      </c>
      <c r="F31" s="962">
        <f t="shared" si="1"/>
        <v>300000</v>
      </c>
      <c r="G31" s="865"/>
    </row>
    <row r="32" spans="1:7" ht="18.75" customHeight="1">
      <c r="A32" s="8">
        <v>26</v>
      </c>
      <c r="B32" s="16" t="s">
        <v>91</v>
      </c>
      <c r="C32" s="2" t="s">
        <v>92</v>
      </c>
      <c r="D32" s="13" t="s">
        <v>81</v>
      </c>
      <c r="E32" s="972">
        <v>300000</v>
      </c>
      <c r="F32" s="962">
        <f t="shared" si="1"/>
        <v>300000</v>
      </c>
      <c r="G32" s="865"/>
    </row>
    <row r="33" spans="1:7" ht="18.75" customHeight="1">
      <c r="A33" s="8">
        <v>27</v>
      </c>
      <c r="B33" s="16" t="s">
        <v>93</v>
      </c>
      <c r="C33" s="2" t="s">
        <v>94</v>
      </c>
      <c r="D33" s="8" t="s">
        <v>86</v>
      </c>
      <c r="E33" s="972">
        <v>300000</v>
      </c>
      <c r="F33" s="962">
        <f t="shared" si="1"/>
        <v>300000</v>
      </c>
      <c r="G33" s="865"/>
    </row>
    <row r="34" spans="1:7" ht="18.75" customHeight="1">
      <c r="A34" s="8">
        <v>28</v>
      </c>
      <c r="B34" s="16" t="s">
        <v>95</v>
      </c>
      <c r="C34" s="2" t="s">
        <v>96</v>
      </c>
      <c r="D34" s="13" t="s">
        <v>81</v>
      </c>
      <c r="E34" s="972">
        <v>300000</v>
      </c>
      <c r="F34" s="962">
        <f t="shared" si="1"/>
        <v>300000</v>
      </c>
      <c r="G34" s="865"/>
    </row>
    <row r="35" spans="1:7" ht="18.75" customHeight="1">
      <c r="A35" s="8">
        <v>29</v>
      </c>
      <c r="B35" s="16" t="s">
        <v>97</v>
      </c>
      <c r="C35" s="2" t="s">
        <v>98</v>
      </c>
      <c r="D35" s="8" t="s">
        <v>99</v>
      </c>
      <c r="E35" s="972">
        <v>300000</v>
      </c>
      <c r="F35" s="962">
        <f t="shared" si="1"/>
        <v>300000</v>
      </c>
      <c r="G35" s="865"/>
    </row>
    <row r="36" spans="1:7" ht="18.75" customHeight="1">
      <c r="A36" s="8">
        <v>30</v>
      </c>
      <c r="B36" s="16" t="s">
        <v>100</v>
      </c>
      <c r="C36" s="2" t="s">
        <v>98</v>
      </c>
      <c r="D36" s="8" t="s">
        <v>99</v>
      </c>
      <c r="E36" s="972">
        <v>300000</v>
      </c>
      <c r="F36" s="962">
        <f t="shared" si="1"/>
        <v>300000</v>
      </c>
      <c r="G36" s="865"/>
    </row>
    <row r="37" spans="1:7" ht="18.75" customHeight="1">
      <c r="A37" s="8">
        <v>31</v>
      </c>
      <c r="B37" s="16" t="s">
        <v>101</v>
      </c>
      <c r="C37" s="2" t="s">
        <v>85</v>
      </c>
      <c r="D37" s="8" t="s">
        <v>99</v>
      </c>
      <c r="E37" s="972">
        <v>300000</v>
      </c>
      <c r="F37" s="962">
        <f t="shared" si="1"/>
        <v>300000</v>
      </c>
      <c r="G37" s="865"/>
    </row>
    <row r="38" spans="1:7" ht="18.75" customHeight="1">
      <c r="A38" s="8">
        <v>32</v>
      </c>
      <c r="B38" s="16" t="s">
        <v>102</v>
      </c>
      <c r="C38" s="2" t="s">
        <v>94</v>
      </c>
      <c r="D38" s="8" t="s">
        <v>99</v>
      </c>
      <c r="E38" s="972">
        <v>300000</v>
      </c>
      <c r="F38" s="962">
        <f t="shared" si="1"/>
        <v>300000</v>
      </c>
      <c r="G38" s="865"/>
    </row>
    <row r="39" spans="1:7" ht="18.75" customHeight="1">
      <c r="A39" s="8">
        <v>33</v>
      </c>
      <c r="B39" s="16" t="s">
        <v>103</v>
      </c>
      <c r="C39" s="10" t="s">
        <v>104</v>
      </c>
      <c r="D39" s="13" t="s">
        <v>105</v>
      </c>
      <c r="E39" s="972">
        <v>300000</v>
      </c>
      <c r="F39" s="962">
        <f t="shared" si="1"/>
        <v>300000</v>
      </c>
      <c r="G39" s="865"/>
    </row>
    <row r="40" spans="1:7" ht="18.75" customHeight="1">
      <c r="A40" s="8">
        <v>34</v>
      </c>
      <c r="B40" s="16" t="s">
        <v>106</v>
      </c>
      <c r="C40" s="10" t="s">
        <v>107</v>
      </c>
      <c r="D40" s="13" t="s">
        <v>108</v>
      </c>
      <c r="E40" s="972">
        <v>300000</v>
      </c>
      <c r="F40" s="962">
        <f t="shared" si="1"/>
        <v>300000</v>
      </c>
      <c r="G40" s="865"/>
    </row>
    <row r="41" spans="1:7" ht="20.100000000000001" customHeight="1">
      <c r="A41" s="8">
        <v>35</v>
      </c>
      <c r="B41" s="16" t="s">
        <v>109</v>
      </c>
      <c r="C41" s="10" t="s">
        <v>110</v>
      </c>
      <c r="D41" s="13" t="s">
        <v>111</v>
      </c>
      <c r="E41" s="972">
        <v>300000</v>
      </c>
      <c r="F41" s="962">
        <f t="shared" si="1"/>
        <v>300000</v>
      </c>
      <c r="G41" s="865"/>
    </row>
    <row r="42" spans="1:7" ht="20.100000000000001" customHeight="1">
      <c r="A42" s="8">
        <v>36</v>
      </c>
      <c r="B42" s="16" t="s">
        <v>112</v>
      </c>
      <c r="C42" s="10" t="s">
        <v>113</v>
      </c>
      <c r="D42" s="13" t="s">
        <v>111</v>
      </c>
      <c r="E42" s="972">
        <v>300000</v>
      </c>
      <c r="F42" s="962">
        <f t="shared" si="1"/>
        <v>300000</v>
      </c>
      <c r="G42" s="865"/>
    </row>
    <row r="43" spans="1:7" ht="20.100000000000001" customHeight="1">
      <c r="A43" s="8">
        <v>37</v>
      </c>
      <c r="B43" s="16" t="s">
        <v>114</v>
      </c>
      <c r="C43" s="10" t="s">
        <v>113</v>
      </c>
      <c r="D43" s="13" t="s">
        <v>111</v>
      </c>
      <c r="E43" s="972">
        <v>300000</v>
      </c>
      <c r="F43" s="962">
        <f t="shared" si="1"/>
        <v>300000</v>
      </c>
      <c r="G43" s="865"/>
    </row>
    <row r="44" spans="1:7" ht="20.100000000000001" customHeight="1">
      <c r="A44" s="8">
        <v>38</v>
      </c>
      <c r="B44" s="16" t="s">
        <v>115</v>
      </c>
      <c r="C44" s="10" t="s">
        <v>116</v>
      </c>
      <c r="D44" s="13" t="s">
        <v>111</v>
      </c>
      <c r="E44" s="972">
        <v>300000</v>
      </c>
      <c r="F44" s="962">
        <f t="shared" si="1"/>
        <v>300000</v>
      </c>
      <c r="G44" s="865"/>
    </row>
    <row r="45" spans="1:7" ht="20.100000000000001" customHeight="1">
      <c r="A45" s="8">
        <v>39</v>
      </c>
      <c r="B45" s="16" t="s">
        <v>117</v>
      </c>
      <c r="C45" s="10" t="s">
        <v>113</v>
      </c>
      <c r="D45" s="13" t="s">
        <v>111</v>
      </c>
      <c r="E45" s="972">
        <v>300000</v>
      </c>
      <c r="F45" s="962">
        <f t="shared" si="1"/>
        <v>300000</v>
      </c>
      <c r="G45" s="865"/>
    </row>
    <row r="46" spans="1:7" ht="20.100000000000001" customHeight="1">
      <c r="A46" s="8">
        <v>40</v>
      </c>
      <c r="B46" s="16" t="s">
        <v>118</v>
      </c>
      <c r="C46" s="10" t="s">
        <v>119</v>
      </c>
      <c r="D46" s="13" t="s">
        <v>111</v>
      </c>
      <c r="E46" s="972">
        <v>300000</v>
      </c>
      <c r="F46" s="962">
        <f t="shared" si="1"/>
        <v>300000</v>
      </c>
      <c r="G46" s="865"/>
    </row>
    <row r="47" spans="1:7" ht="26.25" customHeight="1">
      <c r="A47" s="8"/>
      <c r="B47" s="18" t="s">
        <v>120</v>
      </c>
      <c r="C47" s="19">
        <v>40</v>
      </c>
      <c r="D47" s="13"/>
      <c r="E47" s="974">
        <f>SUM(E7:E46)</f>
        <v>18300000</v>
      </c>
      <c r="F47" s="975">
        <f>SUM(F7:F46)</f>
        <v>9900000</v>
      </c>
      <c r="G47" s="854">
        <f>SUM(G7:G46)</f>
        <v>8400000</v>
      </c>
    </row>
    <row r="48" spans="1:7" ht="18.75" customHeight="1">
      <c r="A48" s="8"/>
      <c r="B48" s="20"/>
      <c r="C48" s="2"/>
      <c r="D48" s="13"/>
      <c r="E48" s="974"/>
      <c r="F48" s="975"/>
      <c r="G48" s="865"/>
    </row>
    <row r="49" spans="1:7" ht="18.75" customHeight="1">
      <c r="A49" s="8"/>
      <c r="B49" s="18" t="s">
        <v>121</v>
      </c>
      <c r="C49" s="2"/>
      <c r="D49" s="13"/>
      <c r="E49" s="972"/>
      <c r="F49" s="962"/>
      <c r="G49" s="865"/>
    </row>
    <row r="50" spans="1:7" ht="18.75" customHeight="1">
      <c r="A50" s="8">
        <v>1</v>
      </c>
      <c r="B50" s="16" t="s">
        <v>122</v>
      </c>
      <c r="C50" s="2" t="s">
        <v>123</v>
      </c>
      <c r="D50" s="8" t="s">
        <v>124</v>
      </c>
      <c r="E50" s="972">
        <v>1000000</v>
      </c>
      <c r="F50" s="962"/>
      <c r="G50" s="865">
        <f>E50</f>
        <v>1000000</v>
      </c>
    </row>
    <row r="51" spans="1:7" ht="20.100000000000001" customHeight="1">
      <c r="A51" s="8">
        <v>2</v>
      </c>
      <c r="B51" s="9" t="s">
        <v>125</v>
      </c>
      <c r="C51" s="10" t="s">
        <v>126</v>
      </c>
      <c r="D51" s="13" t="s">
        <v>50</v>
      </c>
      <c r="E51" s="972">
        <v>700000</v>
      </c>
      <c r="F51" s="962"/>
      <c r="G51" s="865">
        <f>E51</f>
        <v>700000</v>
      </c>
    </row>
    <row r="52" spans="1:7" ht="18.75" customHeight="1">
      <c r="A52" s="8">
        <v>3</v>
      </c>
      <c r="B52" s="16" t="s">
        <v>127</v>
      </c>
      <c r="C52" s="2" t="s">
        <v>128</v>
      </c>
      <c r="D52" s="8" t="s">
        <v>78</v>
      </c>
      <c r="E52" s="972">
        <v>300000</v>
      </c>
      <c r="F52" s="962">
        <f>E52</f>
        <v>300000</v>
      </c>
      <c r="G52" s="865"/>
    </row>
    <row r="53" spans="1:7" ht="18.75" customHeight="1">
      <c r="A53" s="8">
        <v>4</v>
      </c>
      <c r="B53" s="9" t="s">
        <v>129</v>
      </c>
      <c r="C53" s="2" t="s">
        <v>130</v>
      </c>
      <c r="D53" s="13" t="s">
        <v>131</v>
      </c>
      <c r="E53" s="976">
        <v>400000</v>
      </c>
      <c r="F53" s="962">
        <f>E53</f>
        <v>400000</v>
      </c>
      <c r="G53" s="865"/>
    </row>
    <row r="54" spans="1:7" ht="20.100000000000001" customHeight="1">
      <c r="A54" s="8">
        <v>5</v>
      </c>
      <c r="B54" s="16" t="s">
        <v>132</v>
      </c>
      <c r="C54" s="2" t="s">
        <v>128</v>
      </c>
      <c r="D54" s="13" t="s">
        <v>99</v>
      </c>
      <c r="E54" s="972">
        <v>300000</v>
      </c>
      <c r="F54" s="962">
        <f>E54</f>
        <v>300000</v>
      </c>
      <c r="G54" s="865"/>
    </row>
    <row r="55" spans="1:7" ht="18.75" customHeight="1">
      <c r="A55" s="8">
        <v>6</v>
      </c>
      <c r="B55" s="9" t="s">
        <v>133</v>
      </c>
      <c r="C55" s="2" t="s">
        <v>134</v>
      </c>
      <c r="D55" s="13" t="s">
        <v>86</v>
      </c>
      <c r="E55" s="972">
        <v>300000</v>
      </c>
      <c r="F55" s="962">
        <f>E55</f>
        <v>300000</v>
      </c>
      <c r="G55" s="865"/>
    </row>
    <row r="56" spans="1:7" ht="20.100000000000001" customHeight="1">
      <c r="A56" s="8">
        <v>7</v>
      </c>
      <c r="B56" s="16" t="s">
        <v>135</v>
      </c>
      <c r="C56" s="10" t="s">
        <v>136</v>
      </c>
      <c r="D56" s="13" t="s">
        <v>111</v>
      </c>
      <c r="E56" s="972">
        <v>300000</v>
      </c>
      <c r="F56" s="962">
        <f>E56</f>
        <v>300000</v>
      </c>
      <c r="G56" s="865"/>
    </row>
    <row r="57" spans="1:7" ht="19.5" customHeight="1">
      <c r="A57" s="8"/>
      <c r="B57" s="12"/>
      <c r="C57" s="19">
        <v>7</v>
      </c>
      <c r="D57" s="8"/>
      <c r="E57" s="974">
        <f>SUM(E50:E56)</f>
        <v>3300000</v>
      </c>
      <c r="F57" s="975">
        <f>SUM(F50:F56)</f>
        <v>1600000</v>
      </c>
      <c r="G57" s="854">
        <f>SUM(G50:G56)</f>
        <v>1700000</v>
      </c>
    </row>
    <row r="58" spans="1:7" ht="20.100000000000001" customHeight="1">
      <c r="A58" s="8"/>
      <c r="B58" s="12"/>
      <c r="C58" s="2"/>
      <c r="D58" s="8"/>
      <c r="E58" s="974"/>
      <c r="F58" s="975"/>
      <c r="G58" s="865"/>
    </row>
    <row r="59" spans="1:7" ht="20.100000000000001" customHeight="1">
      <c r="A59" s="8"/>
      <c r="B59" s="21" t="s">
        <v>137</v>
      </c>
      <c r="C59" s="3"/>
      <c r="D59" s="22"/>
      <c r="E59" s="974"/>
      <c r="F59" s="975"/>
      <c r="G59" s="865"/>
    </row>
    <row r="60" spans="1:7" ht="20.100000000000001" customHeight="1">
      <c r="A60" s="8">
        <v>1</v>
      </c>
      <c r="B60" s="9" t="s">
        <v>138</v>
      </c>
      <c r="C60" s="2" t="s">
        <v>139</v>
      </c>
      <c r="D60" s="8" t="s">
        <v>140</v>
      </c>
      <c r="E60" s="972">
        <v>1000000</v>
      </c>
      <c r="F60" s="962"/>
      <c r="G60" s="865">
        <f t="shared" ref="G60:G65" si="2">E60</f>
        <v>1000000</v>
      </c>
    </row>
    <row r="61" spans="1:7" ht="20.100000000000001" customHeight="1">
      <c r="A61" s="8">
        <v>2</v>
      </c>
      <c r="B61" s="9" t="s">
        <v>141</v>
      </c>
      <c r="C61" s="2" t="s">
        <v>142</v>
      </c>
      <c r="D61" s="8" t="s">
        <v>39</v>
      </c>
      <c r="E61" s="972">
        <v>700000</v>
      </c>
      <c r="F61" s="962"/>
      <c r="G61" s="865">
        <f t="shared" si="2"/>
        <v>700000</v>
      </c>
    </row>
    <row r="62" spans="1:7" ht="20.100000000000001" customHeight="1">
      <c r="A62" s="8">
        <v>3</v>
      </c>
      <c r="B62" s="9" t="s">
        <v>143</v>
      </c>
      <c r="C62" s="2" t="s">
        <v>142</v>
      </c>
      <c r="D62" s="8" t="s">
        <v>39</v>
      </c>
      <c r="E62" s="972">
        <v>700000</v>
      </c>
      <c r="F62" s="962"/>
      <c r="G62" s="865">
        <f t="shared" si="2"/>
        <v>700000</v>
      </c>
    </row>
    <row r="63" spans="1:7" ht="20.100000000000001" customHeight="1">
      <c r="A63" s="8">
        <v>4</v>
      </c>
      <c r="B63" s="9" t="s">
        <v>144</v>
      </c>
      <c r="C63" s="2" t="s">
        <v>142</v>
      </c>
      <c r="D63" s="8" t="s">
        <v>39</v>
      </c>
      <c r="E63" s="972">
        <v>700000</v>
      </c>
      <c r="F63" s="962"/>
      <c r="G63" s="865">
        <f t="shared" si="2"/>
        <v>700000</v>
      </c>
    </row>
    <row r="64" spans="1:7" ht="20.100000000000001" customHeight="1">
      <c r="A64" s="8">
        <v>5</v>
      </c>
      <c r="B64" s="12" t="s">
        <v>145</v>
      </c>
      <c r="C64" s="2" t="s">
        <v>142</v>
      </c>
      <c r="D64" s="8" t="s">
        <v>50</v>
      </c>
      <c r="E64" s="972">
        <v>700000</v>
      </c>
      <c r="F64" s="962"/>
      <c r="G64" s="865">
        <f t="shared" si="2"/>
        <v>700000</v>
      </c>
    </row>
    <row r="65" spans="1:7" customFormat="1" ht="20.100000000000001" customHeight="1">
      <c r="A65" s="8">
        <v>6</v>
      </c>
      <c r="B65" s="12" t="s">
        <v>146</v>
      </c>
      <c r="C65" s="2" t="s">
        <v>142</v>
      </c>
      <c r="D65" s="8" t="s">
        <v>50</v>
      </c>
      <c r="E65" s="972">
        <v>700000</v>
      </c>
      <c r="F65" s="962"/>
      <c r="G65" s="865">
        <f t="shared" si="2"/>
        <v>700000</v>
      </c>
    </row>
    <row r="66" spans="1:7" ht="20.100000000000001" customHeight="1">
      <c r="A66" s="8">
        <v>7</v>
      </c>
      <c r="B66" s="16" t="s">
        <v>147</v>
      </c>
      <c r="C66" s="2" t="s">
        <v>148</v>
      </c>
      <c r="D66" s="13" t="s">
        <v>131</v>
      </c>
      <c r="E66" s="976">
        <v>400000</v>
      </c>
      <c r="F66" s="962">
        <f t="shared" ref="F66:F71" si="3">E66</f>
        <v>400000</v>
      </c>
      <c r="G66" s="865"/>
    </row>
    <row r="67" spans="1:7" ht="20.100000000000001" customHeight="1">
      <c r="A67" s="8">
        <v>8</v>
      </c>
      <c r="B67" s="9" t="s">
        <v>149</v>
      </c>
      <c r="C67" s="2" t="s">
        <v>150</v>
      </c>
      <c r="D67" s="8" t="s">
        <v>151</v>
      </c>
      <c r="E67" s="972">
        <v>300000</v>
      </c>
      <c r="F67" s="962">
        <f t="shared" si="3"/>
        <v>300000</v>
      </c>
      <c r="G67" s="865"/>
    </row>
    <row r="68" spans="1:7" ht="20.100000000000001" customHeight="1">
      <c r="A68" s="8">
        <v>9</v>
      </c>
      <c r="B68" s="9" t="s">
        <v>152</v>
      </c>
      <c r="C68" s="2" t="s">
        <v>83</v>
      </c>
      <c r="D68" s="8" t="s">
        <v>75</v>
      </c>
      <c r="E68" s="972">
        <v>300000</v>
      </c>
      <c r="F68" s="962">
        <f t="shared" si="3"/>
        <v>300000</v>
      </c>
      <c r="G68" s="865"/>
    </row>
    <row r="69" spans="1:7" ht="20.100000000000001" customHeight="1">
      <c r="A69" s="8">
        <v>10</v>
      </c>
      <c r="B69" s="9" t="s">
        <v>153</v>
      </c>
      <c r="C69" s="2" t="s">
        <v>150</v>
      </c>
      <c r="D69" s="8" t="s">
        <v>154</v>
      </c>
      <c r="E69" s="972">
        <v>300000</v>
      </c>
      <c r="F69" s="962">
        <f t="shared" si="3"/>
        <v>300000</v>
      </c>
      <c r="G69" s="865"/>
    </row>
    <row r="70" spans="1:7" ht="20.100000000000001" customHeight="1">
      <c r="A70" s="8">
        <v>11</v>
      </c>
      <c r="B70" s="9" t="s">
        <v>155</v>
      </c>
      <c r="C70" s="2" t="s">
        <v>150</v>
      </c>
      <c r="D70" s="8" t="s">
        <v>154</v>
      </c>
      <c r="E70" s="972">
        <v>300000</v>
      </c>
      <c r="F70" s="962">
        <f t="shared" si="3"/>
        <v>300000</v>
      </c>
      <c r="G70" s="865"/>
    </row>
    <row r="71" spans="1:7" ht="18.75" customHeight="1">
      <c r="A71" s="8">
        <v>12</v>
      </c>
      <c r="B71" s="16" t="s">
        <v>156</v>
      </c>
      <c r="C71" s="2" t="s">
        <v>150</v>
      </c>
      <c r="D71" s="8" t="s">
        <v>99</v>
      </c>
      <c r="E71" s="972">
        <v>300000</v>
      </c>
      <c r="F71" s="962">
        <f t="shared" si="3"/>
        <v>300000</v>
      </c>
      <c r="G71" s="865"/>
    </row>
    <row r="72" spans="1:7" ht="25.5" customHeight="1">
      <c r="A72" s="8"/>
      <c r="B72" s="18" t="s">
        <v>120</v>
      </c>
      <c r="C72" s="19">
        <v>12</v>
      </c>
      <c r="D72" s="19"/>
      <c r="E72" s="977">
        <f>SUM(E60:E71)</f>
        <v>6400000</v>
      </c>
      <c r="F72" s="978">
        <f>SUM(F60:F71)</f>
        <v>1900000</v>
      </c>
      <c r="G72" s="856">
        <f>SUM(G60:G71)</f>
        <v>4500000</v>
      </c>
    </row>
    <row r="73" spans="1:7" ht="20.100000000000001" customHeight="1">
      <c r="A73" s="8"/>
      <c r="B73" s="20"/>
      <c r="C73" s="19"/>
      <c r="D73" s="19"/>
      <c r="E73" s="979"/>
      <c r="F73" s="980"/>
      <c r="G73" s="865"/>
    </row>
    <row r="74" spans="1:7" ht="20.100000000000001" customHeight="1">
      <c r="A74" s="8"/>
      <c r="B74" s="18" t="s">
        <v>157</v>
      </c>
      <c r="C74" s="19"/>
      <c r="D74" s="19"/>
      <c r="E74" s="979"/>
      <c r="F74" s="980"/>
      <c r="G74" s="865"/>
    </row>
    <row r="75" spans="1:7" ht="20.100000000000001" customHeight="1">
      <c r="A75" s="8">
        <v>1</v>
      </c>
      <c r="B75" s="9" t="s">
        <v>158</v>
      </c>
      <c r="C75" s="10" t="s">
        <v>159</v>
      </c>
      <c r="D75" s="13" t="s">
        <v>124</v>
      </c>
      <c r="E75" s="972">
        <v>500000</v>
      </c>
      <c r="F75" s="962"/>
      <c r="G75" s="865">
        <f>E75</f>
        <v>500000</v>
      </c>
    </row>
    <row r="76" spans="1:7" ht="20.100000000000001" customHeight="1">
      <c r="A76" s="8">
        <v>2</v>
      </c>
      <c r="B76" s="9" t="s">
        <v>160</v>
      </c>
      <c r="C76" s="10" t="s">
        <v>161</v>
      </c>
      <c r="D76" s="13" t="s">
        <v>162</v>
      </c>
      <c r="E76" s="972">
        <v>700000</v>
      </c>
      <c r="F76" s="962"/>
      <c r="G76" s="865">
        <f>E76</f>
        <v>700000</v>
      </c>
    </row>
    <row r="77" spans="1:7" ht="20.100000000000001" customHeight="1">
      <c r="A77" s="8"/>
      <c r="B77" s="18" t="s">
        <v>120</v>
      </c>
      <c r="C77" s="19">
        <v>2</v>
      </c>
      <c r="D77" s="19"/>
      <c r="E77" s="977">
        <f>SUM(E75:E76)</f>
        <v>1200000</v>
      </c>
      <c r="F77" s="978">
        <f>SUM(F75:F76)</f>
        <v>0</v>
      </c>
      <c r="G77" s="856">
        <f>SUM(G75:G76)</f>
        <v>1200000</v>
      </c>
    </row>
    <row r="78" spans="1:7" ht="20.100000000000001" customHeight="1">
      <c r="A78" s="8"/>
      <c r="B78" s="18"/>
      <c r="C78" s="19"/>
      <c r="D78" s="19"/>
      <c r="E78" s="979"/>
      <c r="F78" s="980"/>
      <c r="G78" s="865"/>
    </row>
    <row r="79" spans="1:7" ht="20.100000000000001" customHeight="1">
      <c r="A79" s="8"/>
      <c r="B79" s="18" t="s">
        <v>163</v>
      </c>
      <c r="C79" s="19"/>
      <c r="D79" s="19"/>
      <c r="E79" s="979"/>
      <c r="F79" s="980"/>
      <c r="G79" s="865"/>
    </row>
    <row r="80" spans="1:7" ht="20.100000000000001" customHeight="1">
      <c r="A80" s="8">
        <v>1</v>
      </c>
      <c r="B80" s="12" t="s">
        <v>164</v>
      </c>
      <c r="C80" s="2" t="s">
        <v>165</v>
      </c>
      <c r="D80" s="8" t="s">
        <v>36</v>
      </c>
      <c r="E80" s="972">
        <v>1000000</v>
      </c>
      <c r="F80" s="962"/>
      <c r="G80" s="865">
        <f>E80</f>
        <v>1000000</v>
      </c>
    </row>
    <row r="81" spans="1:7" ht="20.100000000000001" customHeight="1">
      <c r="A81" s="8">
        <v>2</v>
      </c>
      <c r="B81" s="9" t="s">
        <v>166</v>
      </c>
      <c r="C81" s="2" t="s">
        <v>52</v>
      </c>
      <c r="D81" s="8" t="s">
        <v>47</v>
      </c>
      <c r="E81" s="972">
        <v>500000</v>
      </c>
      <c r="F81" s="962"/>
      <c r="G81" s="865">
        <f>E81</f>
        <v>500000</v>
      </c>
    </row>
    <row r="82" spans="1:7" ht="20.100000000000001" customHeight="1">
      <c r="A82" s="8">
        <v>3</v>
      </c>
      <c r="B82" s="16" t="s">
        <v>167</v>
      </c>
      <c r="C82" s="15" t="s">
        <v>217</v>
      </c>
      <c r="D82" s="13" t="s">
        <v>64</v>
      </c>
      <c r="E82" s="972">
        <v>500000</v>
      </c>
      <c r="F82" s="962">
        <f>E82</f>
        <v>500000</v>
      </c>
      <c r="G82" s="865"/>
    </row>
    <row r="83" spans="1:7" ht="20.100000000000001" customHeight="1">
      <c r="A83" s="8">
        <v>4</v>
      </c>
      <c r="B83" s="16" t="s">
        <v>169</v>
      </c>
      <c r="C83" s="15" t="s">
        <v>217</v>
      </c>
      <c r="D83" s="13" t="s">
        <v>64</v>
      </c>
      <c r="E83" s="972">
        <v>500000</v>
      </c>
      <c r="F83" s="962">
        <f t="shared" ref="F83:F90" si="4">E83</f>
        <v>500000</v>
      </c>
      <c r="G83" s="865"/>
    </row>
    <row r="84" spans="1:7" ht="20.100000000000001" customHeight="1">
      <c r="A84" s="8">
        <v>5</v>
      </c>
      <c r="B84" s="9" t="s">
        <v>170</v>
      </c>
      <c r="C84" s="2" t="s">
        <v>150</v>
      </c>
      <c r="D84" s="8" t="s">
        <v>172</v>
      </c>
      <c r="E84" s="972">
        <v>400000</v>
      </c>
      <c r="F84" s="962">
        <f t="shared" si="4"/>
        <v>400000</v>
      </c>
      <c r="G84" s="865"/>
    </row>
    <row r="85" spans="1:7" ht="20.100000000000001" customHeight="1">
      <c r="A85" s="8">
        <v>6</v>
      </c>
      <c r="B85" s="9" t="s">
        <v>171</v>
      </c>
      <c r="C85" s="15" t="s">
        <v>72</v>
      </c>
      <c r="D85" s="8" t="s">
        <v>172</v>
      </c>
      <c r="E85" s="972">
        <v>400000</v>
      </c>
      <c r="F85" s="962">
        <f t="shared" si="4"/>
        <v>400000</v>
      </c>
      <c r="G85" s="865"/>
    </row>
    <row r="86" spans="1:7" ht="20.100000000000001" customHeight="1">
      <c r="A86" s="8">
        <v>7</v>
      </c>
      <c r="B86" s="9" t="s">
        <v>173</v>
      </c>
      <c r="C86" s="15" t="s">
        <v>72</v>
      </c>
      <c r="D86" s="8" t="s">
        <v>172</v>
      </c>
      <c r="E86" s="972">
        <v>400000</v>
      </c>
      <c r="F86" s="962">
        <f t="shared" si="4"/>
        <v>400000</v>
      </c>
      <c r="G86" s="865"/>
    </row>
    <row r="87" spans="1:7" ht="20.100000000000001" customHeight="1">
      <c r="A87" s="8">
        <v>8</v>
      </c>
      <c r="B87" s="9" t="s">
        <v>174</v>
      </c>
      <c r="C87" s="2" t="s">
        <v>175</v>
      </c>
      <c r="D87" s="13" t="s">
        <v>67</v>
      </c>
      <c r="E87" s="972">
        <v>500000</v>
      </c>
      <c r="F87" s="962">
        <f t="shared" si="4"/>
        <v>500000</v>
      </c>
      <c r="G87" s="865"/>
    </row>
    <row r="88" spans="1:7" ht="20.100000000000001" customHeight="1">
      <c r="A88" s="8">
        <v>9</v>
      </c>
      <c r="B88" s="12" t="s">
        <v>176</v>
      </c>
      <c r="C88" s="15" t="s">
        <v>177</v>
      </c>
      <c r="D88" s="8" t="s">
        <v>131</v>
      </c>
      <c r="E88" s="972">
        <v>400000</v>
      </c>
      <c r="F88" s="962">
        <f t="shared" si="4"/>
        <v>400000</v>
      </c>
      <c r="G88" s="865"/>
    </row>
    <row r="89" spans="1:7" ht="21.6" customHeight="1">
      <c r="A89" s="8">
        <v>10</v>
      </c>
      <c r="B89" s="9" t="s">
        <v>178</v>
      </c>
      <c r="C89" s="2" t="s">
        <v>150</v>
      </c>
      <c r="D89" s="8" t="s">
        <v>151</v>
      </c>
      <c r="E89" s="972">
        <v>300000</v>
      </c>
      <c r="F89" s="962">
        <f t="shared" si="4"/>
        <v>300000</v>
      </c>
      <c r="G89" s="865"/>
    </row>
    <row r="90" spans="1:7" ht="18.75" customHeight="1">
      <c r="A90" s="8">
        <v>11</v>
      </c>
      <c r="B90" s="16" t="s">
        <v>180</v>
      </c>
      <c r="C90" s="2" t="s">
        <v>181</v>
      </c>
      <c r="D90" s="8" t="s">
        <v>99</v>
      </c>
      <c r="E90" s="972">
        <v>300000</v>
      </c>
      <c r="F90" s="962">
        <f t="shared" si="4"/>
        <v>300000</v>
      </c>
      <c r="G90" s="865"/>
    </row>
    <row r="91" spans="1:7" ht="27" customHeight="1">
      <c r="A91" s="8"/>
      <c r="B91" s="18" t="s">
        <v>120</v>
      </c>
      <c r="C91" s="19">
        <v>11</v>
      </c>
      <c r="D91" s="19"/>
      <c r="E91" s="977">
        <f>SUM(E80:E90)</f>
        <v>5200000</v>
      </c>
      <c r="F91" s="978">
        <f>SUM(F80:F90)</f>
        <v>3700000</v>
      </c>
      <c r="G91" s="856">
        <f>SUM(G80:G90)</f>
        <v>1500000</v>
      </c>
    </row>
    <row r="92" spans="1:7" ht="20.100000000000001" customHeight="1">
      <c r="A92" s="8"/>
      <c r="B92" s="20"/>
      <c r="C92" s="19"/>
      <c r="D92" s="19"/>
      <c r="E92" s="979"/>
      <c r="F92" s="980"/>
      <c r="G92" s="865"/>
    </row>
    <row r="93" spans="1:7" ht="20.100000000000001" customHeight="1">
      <c r="A93" s="8"/>
      <c r="B93" s="18" t="s">
        <v>182</v>
      </c>
      <c r="C93" s="19"/>
      <c r="D93" s="19"/>
      <c r="E93" s="979"/>
      <c r="F93" s="980"/>
      <c r="G93" s="865"/>
    </row>
    <row r="94" spans="1:7" ht="20.100000000000001" customHeight="1">
      <c r="A94" s="8">
        <v>1</v>
      </c>
      <c r="B94" s="9" t="s">
        <v>183</v>
      </c>
      <c r="C94" s="2" t="s">
        <v>184</v>
      </c>
      <c r="D94" s="8" t="s">
        <v>124</v>
      </c>
      <c r="E94" s="972">
        <v>1000000</v>
      </c>
      <c r="F94" s="962"/>
      <c r="G94" s="865">
        <f>E94</f>
        <v>1000000</v>
      </c>
    </row>
    <row r="95" spans="1:7" ht="20.100000000000001" customHeight="1">
      <c r="A95" s="8">
        <v>2</v>
      </c>
      <c r="B95" s="9" t="s">
        <v>185</v>
      </c>
      <c r="C95" s="2" t="s">
        <v>186</v>
      </c>
      <c r="D95" s="8" t="s">
        <v>50</v>
      </c>
      <c r="E95" s="972">
        <v>700000</v>
      </c>
      <c r="F95" s="962"/>
      <c r="G95" s="865">
        <f>E95</f>
        <v>700000</v>
      </c>
    </row>
    <row r="96" spans="1:7" ht="20.100000000000001" customHeight="1">
      <c r="A96" s="8">
        <v>3</v>
      </c>
      <c r="B96" s="9" t="s">
        <v>187</v>
      </c>
      <c r="C96" s="2" t="s">
        <v>188</v>
      </c>
      <c r="D96" s="8" t="s">
        <v>50</v>
      </c>
      <c r="E96" s="972">
        <v>700000</v>
      </c>
      <c r="F96" s="962"/>
      <c r="G96" s="865">
        <f>E96</f>
        <v>700000</v>
      </c>
    </row>
    <row r="97" spans="1:7" ht="20.100000000000001" customHeight="1">
      <c r="A97" s="8">
        <v>4</v>
      </c>
      <c r="B97" s="9" t="s">
        <v>189</v>
      </c>
      <c r="C97" s="2" t="s">
        <v>190</v>
      </c>
      <c r="D97" s="13" t="s">
        <v>191</v>
      </c>
      <c r="E97" s="972">
        <v>500000</v>
      </c>
      <c r="F97" s="962"/>
      <c r="G97" s="865">
        <f>E97</f>
        <v>500000</v>
      </c>
    </row>
    <row r="98" spans="1:7" ht="20.100000000000001" customHeight="1">
      <c r="A98" s="8">
        <v>5</v>
      </c>
      <c r="B98" s="9" t="s">
        <v>192</v>
      </c>
      <c r="C98" s="10" t="s">
        <v>193</v>
      </c>
      <c r="D98" s="13" t="s">
        <v>64</v>
      </c>
      <c r="E98" s="972">
        <v>500000</v>
      </c>
      <c r="F98" s="962">
        <f t="shared" ref="F98:F104" si="5">E98</f>
        <v>500000</v>
      </c>
      <c r="G98" s="865"/>
    </row>
    <row r="99" spans="1:7" ht="20.100000000000001" customHeight="1">
      <c r="A99" s="8">
        <v>6</v>
      </c>
      <c r="B99" s="9" t="s">
        <v>194</v>
      </c>
      <c r="C99" s="2" t="s">
        <v>195</v>
      </c>
      <c r="D99" s="13" t="s">
        <v>64</v>
      </c>
      <c r="E99" s="972">
        <v>500000</v>
      </c>
      <c r="F99" s="962">
        <f t="shared" si="5"/>
        <v>500000</v>
      </c>
      <c r="G99" s="865"/>
    </row>
    <row r="100" spans="1:7" ht="20.100000000000001" customHeight="1">
      <c r="A100" s="8">
        <v>7</v>
      </c>
      <c r="B100" s="9" t="s">
        <v>196</v>
      </c>
      <c r="C100" s="2" t="s">
        <v>197</v>
      </c>
      <c r="D100" s="8" t="s">
        <v>70</v>
      </c>
      <c r="E100" s="972">
        <v>400000</v>
      </c>
      <c r="F100" s="962">
        <f t="shared" si="5"/>
        <v>400000</v>
      </c>
      <c r="G100" s="865"/>
    </row>
    <row r="101" spans="1:7" ht="20.100000000000001" customHeight="1">
      <c r="A101" s="8">
        <v>8</v>
      </c>
      <c r="B101" s="9" t="s">
        <v>198</v>
      </c>
      <c r="C101" s="2" t="s">
        <v>199</v>
      </c>
      <c r="D101" s="8" t="s">
        <v>75</v>
      </c>
      <c r="E101" s="972">
        <v>300000</v>
      </c>
      <c r="F101" s="962">
        <f t="shared" si="5"/>
        <v>300000</v>
      </c>
      <c r="G101" s="865"/>
    </row>
    <row r="102" spans="1:7" ht="20.100000000000001" customHeight="1">
      <c r="A102" s="8">
        <v>9</v>
      </c>
      <c r="B102" s="9" t="s">
        <v>200</v>
      </c>
      <c r="C102" s="2" t="s">
        <v>181</v>
      </c>
      <c r="D102" s="8" t="s">
        <v>86</v>
      </c>
      <c r="E102" s="972">
        <v>300000</v>
      </c>
      <c r="F102" s="962">
        <f t="shared" si="5"/>
        <v>300000</v>
      </c>
      <c r="G102" s="865"/>
    </row>
    <row r="103" spans="1:7" ht="18.75" customHeight="1">
      <c r="A103" s="8">
        <v>10</v>
      </c>
      <c r="B103" s="16" t="s">
        <v>201</v>
      </c>
      <c r="C103" s="2" t="s">
        <v>181</v>
      </c>
      <c r="D103" s="8" t="s">
        <v>99</v>
      </c>
      <c r="E103" s="972">
        <v>300000</v>
      </c>
      <c r="F103" s="962">
        <f t="shared" si="5"/>
        <v>300000</v>
      </c>
      <c r="G103" s="865"/>
    </row>
    <row r="104" spans="1:7" ht="20.100000000000001" customHeight="1">
      <c r="A104" s="8">
        <v>11</v>
      </c>
      <c r="B104" s="9" t="s">
        <v>202</v>
      </c>
      <c r="C104" s="2" t="s">
        <v>203</v>
      </c>
      <c r="D104" s="8" t="s">
        <v>105</v>
      </c>
      <c r="E104" s="972">
        <v>300000</v>
      </c>
      <c r="F104" s="962">
        <f t="shared" si="5"/>
        <v>300000</v>
      </c>
      <c r="G104" s="865"/>
    </row>
    <row r="105" spans="1:7" ht="20.100000000000001" customHeight="1">
      <c r="A105" s="8"/>
      <c r="B105" s="18" t="s">
        <v>120</v>
      </c>
      <c r="C105" s="19">
        <v>11</v>
      </c>
      <c r="D105" s="19"/>
      <c r="E105" s="977">
        <f>SUM(E94:E104)</f>
        <v>5500000</v>
      </c>
      <c r="F105" s="978">
        <f>SUM(F94:F104)</f>
        <v>2600000</v>
      </c>
      <c r="G105" s="856">
        <f>SUM(G94:G104)</f>
        <v>2900000</v>
      </c>
    </row>
    <row r="106" spans="1:7" ht="20.100000000000001" customHeight="1">
      <c r="A106" s="8"/>
      <c r="B106" s="18"/>
      <c r="C106" s="19"/>
      <c r="D106" s="19"/>
      <c r="E106" s="979"/>
      <c r="F106" s="980"/>
      <c r="G106" s="865"/>
    </row>
    <row r="107" spans="1:7" ht="20.100000000000001" customHeight="1">
      <c r="A107" s="8"/>
      <c r="B107" s="18" t="s">
        <v>204</v>
      </c>
      <c r="C107" s="23"/>
      <c r="D107" s="19"/>
      <c r="E107" s="979"/>
      <c r="F107" s="980"/>
      <c r="G107" s="865"/>
    </row>
    <row r="108" spans="1:7" ht="20.100000000000001" customHeight="1">
      <c r="A108" s="8">
        <v>1</v>
      </c>
      <c r="B108" s="9" t="s">
        <v>205</v>
      </c>
      <c r="C108" s="2" t="s">
        <v>206</v>
      </c>
      <c r="D108" s="8" t="s">
        <v>140</v>
      </c>
      <c r="E108" s="972">
        <v>1000000</v>
      </c>
      <c r="F108" s="962"/>
      <c r="G108" s="865">
        <f t="shared" ref="G108:G113" si="6">E108</f>
        <v>1000000</v>
      </c>
    </row>
    <row r="109" spans="1:7" ht="20.100000000000001" customHeight="1">
      <c r="A109" s="8">
        <v>2</v>
      </c>
      <c r="B109" s="9" t="s">
        <v>207</v>
      </c>
      <c r="C109" s="2" t="s">
        <v>208</v>
      </c>
      <c r="D109" s="8" t="s">
        <v>209</v>
      </c>
      <c r="E109" s="972">
        <v>700000</v>
      </c>
      <c r="F109" s="962"/>
      <c r="G109" s="865">
        <f t="shared" si="6"/>
        <v>700000</v>
      </c>
    </row>
    <row r="110" spans="1:7" ht="20.100000000000001" customHeight="1">
      <c r="A110" s="8">
        <v>3</v>
      </c>
      <c r="B110" s="9" t="s">
        <v>210</v>
      </c>
      <c r="C110" s="2" t="s">
        <v>142</v>
      </c>
      <c r="D110" s="8" t="s">
        <v>39</v>
      </c>
      <c r="E110" s="972">
        <v>700000</v>
      </c>
      <c r="F110" s="962"/>
      <c r="G110" s="865">
        <f t="shared" si="6"/>
        <v>700000</v>
      </c>
    </row>
    <row r="111" spans="1:7" ht="21.6" customHeight="1">
      <c r="A111" s="8">
        <v>4</v>
      </c>
      <c r="B111" s="9" t="s">
        <v>211</v>
      </c>
      <c r="C111" s="2" t="s">
        <v>52</v>
      </c>
      <c r="D111" s="13" t="s">
        <v>47</v>
      </c>
      <c r="E111" s="972">
        <v>500000</v>
      </c>
      <c r="F111" s="962"/>
      <c r="G111" s="865">
        <f t="shared" si="6"/>
        <v>500000</v>
      </c>
    </row>
    <row r="112" spans="1:7" ht="21.6" customHeight="1">
      <c r="A112" s="8">
        <v>5</v>
      </c>
      <c r="B112" s="9" t="s">
        <v>212</v>
      </c>
      <c r="C112" s="2" t="s">
        <v>52</v>
      </c>
      <c r="D112" s="13" t="s">
        <v>47</v>
      </c>
      <c r="E112" s="972">
        <v>500000</v>
      </c>
      <c r="F112" s="962"/>
      <c r="G112" s="865">
        <f t="shared" si="6"/>
        <v>500000</v>
      </c>
    </row>
    <row r="113" spans="1:7" ht="21.6" customHeight="1">
      <c r="A113" s="8">
        <v>6</v>
      </c>
      <c r="B113" s="9" t="s">
        <v>213</v>
      </c>
      <c r="C113" s="10" t="s">
        <v>52</v>
      </c>
      <c r="D113" s="13" t="s">
        <v>214</v>
      </c>
      <c r="E113" s="972">
        <v>500000</v>
      </c>
      <c r="F113" s="962"/>
      <c r="G113" s="865">
        <f t="shared" si="6"/>
        <v>500000</v>
      </c>
    </row>
    <row r="114" spans="1:7" ht="21.6" customHeight="1">
      <c r="A114" s="8">
        <v>7</v>
      </c>
      <c r="B114" s="9" t="s">
        <v>215</v>
      </c>
      <c r="C114" s="15" t="s">
        <v>72</v>
      </c>
      <c r="D114" s="13" t="s">
        <v>172</v>
      </c>
      <c r="E114" s="972">
        <v>400000</v>
      </c>
      <c r="F114" s="962">
        <f>E114</f>
        <v>400000</v>
      </c>
      <c r="G114" s="865"/>
    </row>
    <row r="115" spans="1:7" ht="21.6" customHeight="1">
      <c r="A115" s="8">
        <v>8</v>
      </c>
      <c r="B115" s="9" t="s">
        <v>216</v>
      </c>
      <c r="C115" s="15" t="s">
        <v>217</v>
      </c>
      <c r="D115" s="13" t="s">
        <v>218</v>
      </c>
      <c r="E115" s="972">
        <v>500000</v>
      </c>
      <c r="F115" s="962">
        <f t="shared" ref="F115:F120" si="7">E115</f>
        <v>500000</v>
      </c>
      <c r="G115" s="865"/>
    </row>
    <row r="116" spans="1:7" ht="20.100000000000001" customHeight="1">
      <c r="A116" s="8">
        <v>9</v>
      </c>
      <c r="B116" s="16" t="s">
        <v>219</v>
      </c>
      <c r="C116" s="2" t="s">
        <v>148</v>
      </c>
      <c r="D116" s="13" t="s">
        <v>131</v>
      </c>
      <c r="E116" s="976">
        <v>400000</v>
      </c>
      <c r="F116" s="962">
        <f t="shared" si="7"/>
        <v>400000</v>
      </c>
      <c r="G116" s="865"/>
    </row>
    <row r="117" spans="1:7" ht="21.6" customHeight="1">
      <c r="A117" s="8">
        <v>10</v>
      </c>
      <c r="B117" s="9" t="s">
        <v>220</v>
      </c>
      <c r="C117" s="2" t="s">
        <v>221</v>
      </c>
      <c r="D117" s="8" t="s">
        <v>151</v>
      </c>
      <c r="E117" s="976">
        <v>300000</v>
      </c>
      <c r="F117" s="962">
        <f t="shared" si="7"/>
        <v>300000</v>
      </c>
      <c r="G117" s="865"/>
    </row>
    <row r="118" spans="1:7" ht="18.75" customHeight="1">
      <c r="A118" s="8">
        <v>11</v>
      </c>
      <c r="B118" s="16" t="s">
        <v>222</v>
      </c>
      <c r="C118" s="2" t="s">
        <v>150</v>
      </c>
      <c r="D118" s="8" t="s">
        <v>99</v>
      </c>
      <c r="E118" s="976">
        <v>300000</v>
      </c>
      <c r="F118" s="962">
        <f t="shared" si="7"/>
        <v>300000</v>
      </c>
      <c r="G118" s="865"/>
    </row>
    <row r="119" spans="1:7" ht="18.75" customHeight="1">
      <c r="A119" s="8">
        <v>12</v>
      </c>
      <c r="B119" s="16" t="s">
        <v>223</v>
      </c>
      <c r="C119" s="2" t="s">
        <v>150</v>
      </c>
      <c r="D119" s="8" t="s">
        <v>99</v>
      </c>
      <c r="E119" s="976">
        <v>300000</v>
      </c>
      <c r="F119" s="962">
        <f t="shared" si="7"/>
        <v>300000</v>
      </c>
      <c r="G119" s="865"/>
    </row>
    <row r="120" spans="1:7" ht="21.6" customHeight="1">
      <c r="A120" s="8">
        <v>13</v>
      </c>
      <c r="B120" s="9" t="s">
        <v>224</v>
      </c>
      <c r="C120" s="15" t="s">
        <v>554</v>
      </c>
      <c r="D120" s="13" t="s">
        <v>517</v>
      </c>
      <c r="E120" s="976">
        <v>300000</v>
      </c>
      <c r="F120" s="962">
        <f t="shared" si="7"/>
        <v>300000</v>
      </c>
      <c r="G120" s="865"/>
    </row>
    <row r="121" spans="1:7" ht="20.100000000000001" customHeight="1">
      <c r="A121" s="8"/>
      <c r="B121" s="18" t="s">
        <v>120</v>
      </c>
      <c r="C121" s="19">
        <v>13</v>
      </c>
      <c r="D121" s="19"/>
      <c r="E121" s="977">
        <f>SUM(E108:E120)</f>
        <v>6400000</v>
      </c>
      <c r="F121" s="978">
        <f>SUM(F108:F120)</f>
        <v>2500000</v>
      </c>
      <c r="G121" s="856">
        <f>SUM(G108:G120)</f>
        <v>3900000</v>
      </c>
    </row>
    <row r="122" spans="1:7" ht="20.100000000000001" customHeight="1">
      <c r="A122" s="8"/>
      <c r="B122" s="20"/>
      <c r="C122" s="19"/>
      <c r="D122" s="19"/>
      <c r="E122" s="979"/>
      <c r="F122" s="980"/>
      <c r="G122" s="865"/>
    </row>
    <row r="123" spans="1:7" ht="20.100000000000001" customHeight="1">
      <c r="A123" s="8"/>
      <c r="B123" s="18" t="s">
        <v>555</v>
      </c>
      <c r="C123" s="19"/>
      <c r="D123" s="19"/>
      <c r="E123" s="979"/>
      <c r="F123" s="980"/>
      <c r="G123" s="865"/>
    </row>
    <row r="124" spans="1:7" ht="20.100000000000001" customHeight="1">
      <c r="A124" s="8">
        <v>1</v>
      </c>
      <c r="B124" s="12" t="s">
        <v>227</v>
      </c>
      <c r="C124" s="2" t="s">
        <v>228</v>
      </c>
      <c r="D124" s="14" t="s">
        <v>124</v>
      </c>
      <c r="E124" s="972">
        <v>1000000</v>
      </c>
      <c r="F124" s="962"/>
      <c r="G124" s="865">
        <f>E124</f>
        <v>1000000</v>
      </c>
    </row>
    <row r="125" spans="1:7" ht="20.100000000000001" customHeight="1">
      <c r="A125" s="8">
        <v>2</v>
      </c>
      <c r="B125" s="9" t="s">
        <v>229</v>
      </c>
      <c r="C125" s="2" t="s">
        <v>230</v>
      </c>
      <c r="D125" s="13" t="s">
        <v>191</v>
      </c>
      <c r="E125" s="972">
        <v>500000</v>
      </c>
      <c r="F125" s="962"/>
      <c r="G125" s="865">
        <f>E125</f>
        <v>500000</v>
      </c>
    </row>
    <row r="126" spans="1:7" ht="20.100000000000001" customHeight="1">
      <c r="A126" s="8">
        <v>3</v>
      </c>
      <c r="B126" s="9" t="s">
        <v>231</v>
      </c>
      <c r="C126" s="10" t="s">
        <v>232</v>
      </c>
      <c r="D126" s="13" t="s">
        <v>218</v>
      </c>
      <c r="E126" s="972">
        <v>500000</v>
      </c>
      <c r="F126" s="962">
        <f>E126</f>
        <v>500000</v>
      </c>
      <c r="G126" s="865"/>
    </row>
    <row r="127" spans="1:7" ht="20.100000000000001" customHeight="1">
      <c r="A127" s="8">
        <v>4</v>
      </c>
      <c r="B127" s="9" t="s">
        <v>233</v>
      </c>
      <c r="C127" s="2" t="s">
        <v>234</v>
      </c>
      <c r="D127" s="13" t="s">
        <v>64</v>
      </c>
      <c r="E127" s="972">
        <v>500000</v>
      </c>
      <c r="F127" s="962">
        <f>E127</f>
        <v>500000</v>
      </c>
      <c r="G127" s="865"/>
    </row>
    <row r="128" spans="1:7" ht="20.100000000000001" customHeight="1">
      <c r="A128" s="8">
        <v>5</v>
      </c>
      <c r="B128" s="9" t="s">
        <v>235</v>
      </c>
      <c r="C128" s="2" t="s">
        <v>234</v>
      </c>
      <c r="D128" s="13" t="s">
        <v>64</v>
      </c>
      <c r="E128" s="972">
        <v>500000</v>
      </c>
      <c r="F128" s="962">
        <f>E128</f>
        <v>500000</v>
      </c>
      <c r="G128" s="865"/>
    </row>
    <row r="129" spans="1:7" ht="20.100000000000001" customHeight="1">
      <c r="A129" s="8">
        <v>6</v>
      </c>
      <c r="B129" s="9" t="s">
        <v>236</v>
      </c>
      <c r="C129" s="2" t="s">
        <v>199</v>
      </c>
      <c r="D129" s="13" t="s">
        <v>151</v>
      </c>
      <c r="E129" s="976">
        <v>300000</v>
      </c>
      <c r="F129" s="962">
        <f>E129</f>
        <v>300000</v>
      </c>
      <c r="G129" s="865"/>
    </row>
    <row r="130" spans="1:7" ht="20.100000000000001" customHeight="1">
      <c r="A130" s="8">
        <v>7</v>
      </c>
      <c r="B130" s="16" t="s">
        <v>237</v>
      </c>
      <c r="C130" s="10" t="s">
        <v>238</v>
      </c>
      <c r="D130" s="13" t="s">
        <v>75</v>
      </c>
      <c r="E130" s="976">
        <v>300000</v>
      </c>
      <c r="F130" s="962">
        <f>E130</f>
        <v>300000</v>
      </c>
      <c r="G130" s="865"/>
    </row>
    <row r="131" spans="1:7" ht="20.100000000000001" customHeight="1">
      <c r="A131" s="2"/>
      <c r="B131" s="18" t="s">
        <v>120</v>
      </c>
      <c r="C131" s="19">
        <v>7</v>
      </c>
      <c r="D131" s="24"/>
      <c r="E131" s="977">
        <f>SUM(E124:E130)</f>
        <v>3600000</v>
      </c>
      <c r="F131" s="978">
        <f>SUM(F124:F130)</f>
        <v>2100000</v>
      </c>
      <c r="G131" s="856">
        <f>SUM(G124:G130)</f>
        <v>1500000</v>
      </c>
    </row>
    <row r="132" spans="1:7" ht="20.100000000000001" customHeight="1">
      <c r="A132" s="2"/>
      <c r="B132" s="20"/>
      <c r="C132" s="19"/>
      <c r="D132" s="24"/>
      <c r="E132" s="979"/>
      <c r="F132" s="980"/>
      <c r="G132" s="865"/>
    </row>
    <row r="133" spans="1:7" ht="20.100000000000001" customHeight="1">
      <c r="A133" s="2"/>
      <c r="B133" s="18" t="s">
        <v>239</v>
      </c>
      <c r="C133" s="2"/>
      <c r="D133" s="2"/>
      <c r="E133" s="981"/>
      <c r="F133" s="982"/>
      <c r="G133" s="865"/>
    </row>
    <row r="134" spans="1:7" ht="20.100000000000001" customHeight="1">
      <c r="A134" s="2">
        <v>1</v>
      </c>
      <c r="B134" s="9" t="s">
        <v>240</v>
      </c>
      <c r="C134" s="10" t="s">
        <v>241</v>
      </c>
      <c r="D134" s="13" t="s">
        <v>124</v>
      </c>
      <c r="E134" s="972">
        <v>1000000</v>
      </c>
      <c r="F134" s="962"/>
      <c r="G134" s="865">
        <f>E134</f>
        <v>1000000</v>
      </c>
    </row>
    <row r="135" spans="1:7" ht="20.100000000000001" customHeight="1">
      <c r="A135" s="2">
        <v>2</v>
      </c>
      <c r="B135" s="9" t="s">
        <v>242</v>
      </c>
      <c r="C135" s="2" t="s">
        <v>243</v>
      </c>
      <c r="D135" s="14" t="s">
        <v>36</v>
      </c>
      <c r="E135" s="972">
        <v>700000</v>
      </c>
      <c r="F135" s="962"/>
      <c r="G135" s="865">
        <f>E135</f>
        <v>700000</v>
      </c>
    </row>
    <row r="136" spans="1:7" ht="20.100000000000001" customHeight="1">
      <c r="A136" s="2">
        <v>3</v>
      </c>
      <c r="B136" s="9" t="s">
        <v>244</v>
      </c>
      <c r="C136" s="2" t="s">
        <v>245</v>
      </c>
      <c r="D136" s="8" t="s">
        <v>214</v>
      </c>
      <c r="E136" s="972">
        <v>500000</v>
      </c>
      <c r="F136" s="962"/>
      <c r="G136" s="865">
        <f>E136</f>
        <v>500000</v>
      </c>
    </row>
    <row r="137" spans="1:7" ht="20.100000000000001" customHeight="1">
      <c r="A137" s="2">
        <v>4</v>
      </c>
      <c r="B137" s="9" t="s">
        <v>246</v>
      </c>
      <c r="C137" s="2" t="s">
        <v>245</v>
      </c>
      <c r="D137" s="8" t="s">
        <v>214</v>
      </c>
      <c r="E137" s="972">
        <v>500000</v>
      </c>
      <c r="F137" s="962"/>
      <c r="G137" s="865">
        <f>E137</f>
        <v>500000</v>
      </c>
    </row>
    <row r="138" spans="1:7" ht="20.100000000000001" customHeight="1">
      <c r="A138" s="2">
        <v>5</v>
      </c>
      <c r="B138" s="16" t="s">
        <v>247</v>
      </c>
      <c r="C138" s="2" t="s">
        <v>248</v>
      </c>
      <c r="D138" s="13" t="s">
        <v>131</v>
      </c>
      <c r="E138" s="976">
        <v>400000</v>
      </c>
      <c r="F138" s="962">
        <f>E138</f>
        <v>400000</v>
      </c>
      <c r="G138" s="865"/>
    </row>
    <row r="139" spans="1:7" ht="20.100000000000001" customHeight="1">
      <c r="A139" s="2">
        <v>6</v>
      </c>
      <c r="B139" s="9" t="s">
        <v>249</v>
      </c>
      <c r="C139" s="2" t="s">
        <v>250</v>
      </c>
      <c r="D139" s="13" t="s">
        <v>251</v>
      </c>
      <c r="E139" s="976">
        <v>300000</v>
      </c>
      <c r="F139" s="962">
        <f t="shared" ref="F139:F144" si="8">E139</f>
        <v>300000</v>
      </c>
      <c r="G139" s="865"/>
    </row>
    <row r="140" spans="1:7" ht="20.100000000000001" customHeight="1">
      <c r="A140" s="2">
        <v>7</v>
      </c>
      <c r="B140" s="16" t="s">
        <v>252</v>
      </c>
      <c r="C140" s="2" t="s">
        <v>250</v>
      </c>
      <c r="D140" s="8" t="s">
        <v>99</v>
      </c>
      <c r="E140" s="976">
        <v>300000</v>
      </c>
      <c r="F140" s="962">
        <f t="shared" si="8"/>
        <v>300000</v>
      </c>
      <c r="G140" s="865"/>
    </row>
    <row r="141" spans="1:7" ht="20.100000000000001" customHeight="1">
      <c r="A141" s="2">
        <v>8</v>
      </c>
      <c r="B141" s="16" t="s">
        <v>253</v>
      </c>
      <c r="C141" s="2" t="s">
        <v>250</v>
      </c>
      <c r="D141" s="13" t="s">
        <v>517</v>
      </c>
      <c r="E141" s="976">
        <v>300000</v>
      </c>
      <c r="F141" s="962">
        <f t="shared" si="8"/>
        <v>300000</v>
      </c>
      <c r="G141" s="865"/>
    </row>
    <row r="142" spans="1:7" ht="20.100000000000001" customHeight="1">
      <c r="A142" s="2">
        <v>9</v>
      </c>
      <c r="B142" s="16" t="s">
        <v>254</v>
      </c>
      <c r="C142" s="2" t="s">
        <v>250</v>
      </c>
      <c r="D142" s="13" t="s">
        <v>111</v>
      </c>
      <c r="E142" s="976">
        <v>300000</v>
      </c>
      <c r="F142" s="962">
        <f t="shared" si="8"/>
        <v>300000</v>
      </c>
      <c r="G142" s="865"/>
    </row>
    <row r="143" spans="1:7" ht="20.100000000000001" customHeight="1">
      <c r="A143" s="2">
        <v>10</v>
      </c>
      <c r="B143" s="16" t="s">
        <v>255</v>
      </c>
      <c r="C143" s="2" t="s">
        <v>250</v>
      </c>
      <c r="D143" s="13" t="s">
        <v>111</v>
      </c>
      <c r="E143" s="976">
        <v>300000</v>
      </c>
      <c r="F143" s="962">
        <f t="shared" si="8"/>
        <v>300000</v>
      </c>
      <c r="G143" s="865"/>
    </row>
    <row r="144" spans="1:7" ht="20.100000000000001" customHeight="1">
      <c r="A144" s="2">
        <v>11</v>
      </c>
      <c r="B144" s="16" t="s">
        <v>256</v>
      </c>
      <c r="C144" s="2" t="s">
        <v>250</v>
      </c>
      <c r="D144" s="13" t="s">
        <v>111</v>
      </c>
      <c r="E144" s="976">
        <v>300000</v>
      </c>
      <c r="F144" s="962">
        <f t="shared" si="8"/>
        <v>300000</v>
      </c>
      <c r="G144" s="865"/>
    </row>
    <row r="145" spans="1:7" ht="25.5" customHeight="1">
      <c r="A145" s="2"/>
      <c r="B145" s="18" t="s">
        <v>120</v>
      </c>
      <c r="C145" s="19">
        <v>11</v>
      </c>
      <c r="D145" s="2"/>
      <c r="E145" s="983">
        <f>SUM(E134:E144)</f>
        <v>4900000</v>
      </c>
      <c r="F145" s="984">
        <f>SUM(F134:F144)</f>
        <v>2200000</v>
      </c>
      <c r="G145" s="862">
        <f>SUM(G134:G144)</f>
        <v>2700000</v>
      </c>
    </row>
    <row r="146" spans="1:7" ht="20.100000000000001" customHeight="1">
      <c r="A146" s="2"/>
      <c r="B146" s="18"/>
      <c r="C146" s="19"/>
      <c r="D146" s="2"/>
      <c r="E146" s="983"/>
      <c r="F146" s="984"/>
      <c r="G146" s="985"/>
    </row>
    <row r="147" spans="1:7" ht="20.100000000000001" customHeight="1">
      <c r="A147" s="8"/>
      <c r="B147" s="18" t="s">
        <v>257</v>
      </c>
      <c r="C147" s="19"/>
      <c r="D147" s="19"/>
      <c r="E147" s="979"/>
      <c r="F147" s="980"/>
      <c r="G147" s="865"/>
    </row>
    <row r="148" spans="1:7" ht="20.100000000000001" customHeight="1">
      <c r="A148" s="8">
        <v>1</v>
      </c>
      <c r="B148" s="9" t="s">
        <v>258</v>
      </c>
      <c r="C148" s="15" t="s">
        <v>142</v>
      </c>
      <c r="D148" s="8" t="s">
        <v>50</v>
      </c>
      <c r="E148" s="972">
        <v>700000</v>
      </c>
      <c r="F148" s="962"/>
      <c r="G148" s="865">
        <f>E148</f>
        <v>700000</v>
      </c>
    </row>
    <row r="149" spans="1:7" ht="18.75" customHeight="1">
      <c r="A149" s="8">
        <v>2</v>
      </c>
      <c r="B149" s="9" t="s">
        <v>259</v>
      </c>
      <c r="C149" s="2" t="s">
        <v>260</v>
      </c>
      <c r="D149" s="13" t="s">
        <v>261</v>
      </c>
      <c r="E149" s="972">
        <v>400000</v>
      </c>
      <c r="F149" s="962">
        <f>E149</f>
        <v>400000</v>
      </c>
      <c r="G149" s="865"/>
    </row>
    <row r="150" spans="1:7" ht="18.75" customHeight="1">
      <c r="A150" s="8">
        <v>3</v>
      </c>
      <c r="B150" s="9" t="s">
        <v>484</v>
      </c>
      <c r="C150" s="2" t="s">
        <v>72</v>
      </c>
      <c r="D150" s="13" t="s">
        <v>70</v>
      </c>
      <c r="E150" s="972">
        <v>400000</v>
      </c>
      <c r="F150" s="962">
        <f t="shared" ref="F150:F155" si="9">E150</f>
        <v>400000</v>
      </c>
      <c r="G150" s="865"/>
    </row>
    <row r="151" spans="1:7" ht="18.75" customHeight="1">
      <c r="A151" s="8">
        <v>4</v>
      </c>
      <c r="B151" s="16" t="s">
        <v>262</v>
      </c>
      <c r="C151" s="2" t="s">
        <v>150</v>
      </c>
      <c r="D151" s="8" t="s">
        <v>99</v>
      </c>
      <c r="E151" s="972">
        <v>300000</v>
      </c>
      <c r="F151" s="962">
        <f t="shared" si="9"/>
        <v>300000</v>
      </c>
      <c r="G151" s="865"/>
    </row>
    <row r="152" spans="1:7" ht="18.75" customHeight="1">
      <c r="A152" s="8">
        <v>5</v>
      </c>
      <c r="B152" s="16" t="s">
        <v>263</v>
      </c>
      <c r="C152" s="2" t="s">
        <v>150</v>
      </c>
      <c r="D152" s="8" t="s">
        <v>99</v>
      </c>
      <c r="E152" s="972">
        <v>300000</v>
      </c>
      <c r="F152" s="962">
        <f t="shared" si="9"/>
        <v>300000</v>
      </c>
      <c r="G152" s="865"/>
    </row>
    <row r="153" spans="1:7" ht="18.75" customHeight="1">
      <c r="A153" s="8">
        <v>6</v>
      </c>
      <c r="B153" s="16" t="s">
        <v>264</v>
      </c>
      <c r="C153" s="2" t="s">
        <v>150</v>
      </c>
      <c r="D153" s="8" t="s">
        <v>99</v>
      </c>
      <c r="E153" s="972">
        <v>300000</v>
      </c>
      <c r="F153" s="962">
        <f t="shared" si="9"/>
        <v>300000</v>
      </c>
      <c r="G153" s="865"/>
    </row>
    <row r="154" spans="1:7" ht="18.75" customHeight="1">
      <c r="A154" s="8">
        <v>7</v>
      </c>
      <c r="B154" s="16" t="s">
        <v>265</v>
      </c>
      <c r="C154" s="2" t="s">
        <v>150</v>
      </c>
      <c r="D154" s="8" t="s">
        <v>99</v>
      </c>
      <c r="E154" s="972">
        <v>300000</v>
      </c>
      <c r="F154" s="962">
        <f t="shared" si="9"/>
        <v>300000</v>
      </c>
      <c r="G154" s="865"/>
    </row>
    <row r="155" spans="1:7" ht="20.100000000000001" customHeight="1">
      <c r="A155" s="8">
        <v>8</v>
      </c>
      <c r="B155" s="16" t="s">
        <v>266</v>
      </c>
      <c r="C155" s="10" t="s">
        <v>267</v>
      </c>
      <c r="D155" s="13" t="s">
        <v>111</v>
      </c>
      <c r="E155" s="972">
        <v>300000</v>
      </c>
      <c r="F155" s="962">
        <f t="shared" si="9"/>
        <v>300000</v>
      </c>
      <c r="G155" s="865"/>
    </row>
    <row r="156" spans="1:7" ht="24.75" customHeight="1">
      <c r="A156" s="2"/>
      <c r="B156" s="18" t="s">
        <v>120</v>
      </c>
      <c r="C156" s="19">
        <v>8</v>
      </c>
      <c r="D156" s="24"/>
      <c r="E156" s="977">
        <f>SUM(E148:E155)</f>
        <v>3000000</v>
      </c>
      <c r="F156" s="978">
        <f>SUM(F148:F155)</f>
        <v>2300000</v>
      </c>
      <c r="G156" s="856">
        <f>SUM(G148:G155)</f>
        <v>700000</v>
      </c>
    </row>
    <row r="157" spans="1:7" ht="24.75" customHeight="1">
      <c r="A157" s="2"/>
      <c r="B157" s="18"/>
      <c r="C157" s="19"/>
      <c r="D157" s="24"/>
      <c r="E157" s="977"/>
      <c r="F157" s="978"/>
      <c r="G157" s="856"/>
    </row>
    <row r="158" spans="1:7" ht="24.75" customHeight="1">
      <c r="A158" s="8"/>
      <c r="B158" s="18" t="s">
        <v>268</v>
      </c>
      <c r="C158" s="19"/>
      <c r="D158" s="19"/>
      <c r="E158" s="979"/>
      <c r="F158" s="980"/>
      <c r="G158" s="865"/>
    </row>
    <row r="159" spans="1:7" ht="20.100000000000001" customHeight="1">
      <c r="A159" s="2">
        <v>1</v>
      </c>
      <c r="B159" s="16" t="s">
        <v>269</v>
      </c>
      <c r="C159" s="10" t="s">
        <v>270</v>
      </c>
      <c r="D159" s="13" t="s">
        <v>75</v>
      </c>
      <c r="E159" s="972">
        <v>300000</v>
      </c>
      <c r="F159" s="962">
        <f>E159</f>
        <v>300000</v>
      </c>
      <c r="G159" s="865"/>
    </row>
    <row r="160" spans="1:7" ht="18.75" customHeight="1">
      <c r="A160" s="2">
        <v>2</v>
      </c>
      <c r="B160" s="16" t="s">
        <v>271</v>
      </c>
      <c r="C160" s="2" t="s">
        <v>272</v>
      </c>
      <c r="D160" s="8" t="s">
        <v>99</v>
      </c>
      <c r="E160" s="972">
        <v>300000</v>
      </c>
      <c r="F160" s="962">
        <f>E160</f>
        <v>300000</v>
      </c>
      <c r="G160" s="865"/>
    </row>
    <row r="161" spans="1:7" ht="24.75" customHeight="1">
      <c r="A161" s="2">
        <v>3</v>
      </c>
      <c r="B161" s="9" t="s">
        <v>273</v>
      </c>
      <c r="C161" s="2" t="s">
        <v>274</v>
      </c>
      <c r="D161" s="8" t="s">
        <v>111</v>
      </c>
      <c r="E161" s="972">
        <v>300000</v>
      </c>
      <c r="F161" s="962">
        <f>E161</f>
        <v>300000</v>
      </c>
      <c r="G161" s="865"/>
    </row>
    <row r="162" spans="1:7" ht="20.100000000000001" customHeight="1">
      <c r="A162" s="2">
        <v>4</v>
      </c>
      <c r="B162" s="16" t="s">
        <v>275</v>
      </c>
      <c r="C162" s="10" t="s">
        <v>276</v>
      </c>
      <c r="D162" s="13" t="s">
        <v>277</v>
      </c>
      <c r="E162" s="972">
        <v>300000</v>
      </c>
      <c r="F162" s="962">
        <f>E162</f>
        <v>300000</v>
      </c>
      <c r="G162" s="865"/>
    </row>
    <row r="163" spans="1:7" ht="24.75" customHeight="1">
      <c r="A163" s="2">
        <v>5</v>
      </c>
      <c r="B163" s="9" t="s">
        <v>278</v>
      </c>
      <c r="C163" s="2" t="s">
        <v>279</v>
      </c>
      <c r="D163" s="8" t="s">
        <v>111</v>
      </c>
      <c r="E163" s="972">
        <v>300000</v>
      </c>
      <c r="F163" s="962">
        <f>E163</f>
        <v>300000</v>
      </c>
      <c r="G163" s="865"/>
    </row>
    <row r="164" spans="1:7" ht="20.100000000000001" customHeight="1">
      <c r="A164" s="2"/>
      <c r="B164" s="18" t="s">
        <v>120</v>
      </c>
      <c r="C164" s="19">
        <v>5</v>
      </c>
      <c r="D164" s="24"/>
      <c r="E164" s="977">
        <f>SUM(E159:E163)</f>
        <v>1500000</v>
      </c>
      <c r="F164" s="978">
        <f>SUM(F159:F163)</f>
        <v>1500000</v>
      </c>
      <c r="G164" s="856">
        <f>SUM(G159:G163)</f>
        <v>0</v>
      </c>
    </row>
    <row r="165" spans="1:7" ht="20.100000000000001" customHeight="1">
      <c r="A165" s="2"/>
      <c r="B165" s="18"/>
      <c r="C165" s="19"/>
      <c r="D165" s="24"/>
      <c r="E165" s="977"/>
      <c r="F165" s="978"/>
      <c r="G165" s="856"/>
    </row>
    <row r="166" spans="1:7" ht="20.100000000000001" customHeight="1">
      <c r="A166" s="2"/>
      <c r="B166" s="18" t="s">
        <v>280</v>
      </c>
      <c r="C166" s="19"/>
      <c r="D166" s="19"/>
      <c r="E166" s="979"/>
      <c r="F166" s="980"/>
      <c r="G166" s="865"/>
    </row>
    <row r="167" spans="1:7" ht="20.100000000000001" customHeight="1">
      <c r="A167" s="2">
        <v>1</v>
      </c>
      <c r="B167" s="9" t="s">
        <v>281</v>
      </c>
      <c r="C167" s="10" t="s">
        <v>282</v>
      </c>
      <c r="D167" s="13" t="s">
        <v>124</v>
      </c>
      <c r="E167" s="972">
        <v>1000000</v>
      </c>
      <c r="F167" s="962"/>
      <c r="G167" s="865">
        <f>E167</f>
        <v>1000000</v>
      </c>
    </row>
    <row r="168" spans="1:7" ht="20.100000000000001" customHeight="1">
      <c r="A168" s="2">
        <v>2</v>
      </c>
      <c r="B168" s="9" t="s">
        <v>283</v>
      </c>
      <c r="C168" s="10" t="s">
        <v>284</v>
      </c>
      <c r="D168" s="13" t="s">
        <v>36</v>
      </c>
      <c r="E168" s="972">
        <v>700000</v>
      </c>
      <c r="F168" s="962"/>
      <c r="G168" s="865">
        <f t="shared" ref="G168:G173" si="10">E168</f>
        <v>700000</v>
      </c>
    </row>
    <row r="169" spans="1:7" ht="20.100000000000001" customHeight="1">
      <c r="A169" s="2">
        <v>3</v>
      </c>
      <c r="B169" s="12" t="s">
        <v>285</v>
      </c>
      <c r="C169" s="10" t="s">
        <v>284</v>
      </c>
      <c r="D169" s="13" t="s">
        <v>36</v>
      </c>
      <c r="E169" s="972">
        <v>700000</v>
      </c>
      <c r="F169" s="962"/>
      <c r="G169" s="865">
        <f t="shared" si="10"/>
        <v>700000</v>
      </c>
    </row>
    <row r="170" spans="1:7" ht="20.100000000000001" customHeight="1">
      <c r="A170" s="2">
        <v>4</v>
      </c>
      <c r="B170" s="9" t="s">
        <v>286</v>
      </c>
      <c r="C170" s="10" t="s">
        <v>287</v>
      </c>
      <c r="D170" s="13" t="s">
        <v>50</v>
      </c>
      <c r="E170" s="972">
        <v>700000</v>
      </c>
      <c r="F170" s="962"/>
      <c r="G170" s="865">
        <f t="shared" si="10"/>
        <v>700000</v>
      </c>
    </row>
    <row r="171" spans="1:7" ht="20.100000000000001" customHeight="1">
      <c r="A171" s="2">
        <v>5</v>
      </c>
      <c r="B171" s="9" t="s">
        <v>288</v>
      </c>
      <c r="C171" s="10" t="s">
        <v>287</v>
      </c>
      <c r="D171" s="13" t="s">
        <v>42</v>
      </c>
      <c r="E171" s="972">
        <v>700000</v>
      </c>
      <c r="F171" s="962"/>
      <c r="G171" s="865">
        <f t="shared" si="10"/>
        <v>700000</v>
      </c>
    </row>
    <row r="172" spans="1:7" ht="20.100000000000001" customHeight="1">
      <c r="A172" s="2">
        <v>6</v>
      </c>
      <c r="B172" s="9" t="s">
        <v>289</v>
      </c>
      <c r="C172" s="10" t="s">
        <v>290</v>
      </c>
      <c r="D172" s="13" t="s">
        <v>47</v>
      </c>
      <c r="E172" s="972">
        <v>500000</v>
      </c>
      <c r="F172" s="962"/>
      <c r="G172" s="865">
        <f t="shared" si="10"/>
        <v>500000</v>
      </c>
    </row>
    <row r="173" spans="1:7" ht="20.100000000000001" customHeight="1">
      <c r="A173" s="2">
        <v>7</v>
      </c>
      <c r="B173" s="9" t="s">
        <v>291</v>
      </c>
      <c r="C173" s="10" t="s">
        <v>290</v>
      </c>
      <c r="D173" s="13" t="s">
        <v>191</v>
      </c>
      <c r="E173" s="972">
        <v>500000</v>
      </c>
      <c r="F173" s="962"/>
      <c r="G173" s="865">
        <f t="shared" si="10"/>
        <v>500000</v>
      </c>
    </row>
    <row r="174" spans="1:7" ht="20.100000000000001" customHeight="1">
      <c r="A174" s="2">
        <v>8</v>
      </c>
      <c r="B174" s="16" t="s">
        <v>292</v>
      </c>
      <c r="C174" s="10" t="s">
        <v>293</v>
      </c>
      <c r="D174" s="13" t="s">
        <v>99</v>
      </c>
      <c r="E174" s="972">
        <v>300000</v>
      </c>
      <c r="F174" s="962">
        <f>E174</f>
        <v>300000</v>
      </c>
      <c r="G174" s="865"/>
    </row>
    <row r="175" spans="1:7" ht="20.100000000000001" customHeight="1">
      <c r="A175" s="2">
        <v>9</v>
      </c>
      <c r="B175" s="9" t="s">
        <v>294</v>
      </c>
      <c r="C175" s="2" t="s">
        <v>295</v>
      </c>
      <c r="D175" s="13" t="s">
        <v>81</v>
      </c>
      <c r="E175" s="972">
        <v>300000</v>
      </c>
      <c r="F175" s="962">
        <f>E175</f>
        <v>300000</v>
      </c>
      <c r="G175" s="865"/>
    </row>
    <row r="176" spans="1:7" ht="20.100000000000001" customHeight="1">
      <c r="A176" s="2">
        <v>10</v>
      </c>
      <c r="B176" s="16" t="s">
        <v>296</v>
      </c>
      <c r="C176" s="10" t="s">
        <v>297</v>
      </c>
      <c r="D176" s="13" t="s">
        <v>105</v>
      </c>
      <c r="E176" s="972">
        <v>300000</v>
      </c>
      <c r="F176" s="962">
        <f>E176</f>
        <v>300000</v>
      </c>
      <c r="G176" s="865"/>
    </row>
    <row r="177" spans="1:7" ht="20.100000000000001" customHeight="1">
      <c r="A177" s="2">
        <v>11</v>
      </c>
      <c r="B177" s="16" t="s">
        <v>298</v>
      </c>
      <c r="C177" s="10" t="s">
        <v>293</v>
      </c>
      <c r="D177" s="13" t="s">
        <v>105</v>
      </c>
      <c r="E177" s="972">
        <v>300000</v>
      </c>
      <c r="F177" s="962">
        <f>E177</f>
        <v>300000</v>
      </c>
      <c r="G177" s="865"/>
    </row>
    <row r="178" spans="1:7" ht="20.100000000000001" customHeight="1">
      <c r="A178" s="2">
        <v>12</v>
      </c>
      <c r="B178" s="16" t="s">
        <v>299</v>
      </c>
      <c r="C178" s="10" t="s">
        <v>297</v>
      </c>
      <c r="D178" s="13" t="s">
        <v>108</v>
      </c>
      <c r="E178" s="972">
        <v>300000</v>
      </c>
      <c r="F178" s="962">
        <f>E178</f>
        <v>300000</v>
      </c>
      <c r="G178" s="865"/>
    </row>
    <row r="179" spans="1:7" ht="28.5" customHeight="1">
      <c r="A179" s="2"/>
      <c r="B179" s="18" t="s">
        <v>120</v>
      </c>
      <c r="C179" s="24" t="s">
        <v>300</v>
      </c>
      <c r="D179" s="13"/>
      <c r="E179" s="974">
        <f>SUM(E167:E178)</f>
        <v>6300000</v>
      </c>
      <c r="F179" s="975">
        <f>SUM(F167:F178)</f>
        <v>1500000</v>
      </c>
      <c r="G179" s="854">
        <f>SUM(G167:G178)</f>
        <v>4800000</v>
      </c>
    </row>
    <row r="180" spans="1:7" ht="20.100000000000001" customHeight="1">
      <c r="A180" s="2"/>
      <c r="B180" s="20"/>
      <c r="C180" s="24"/>
      <c r="D180" s="13"/>
      <c r="E180" s="979"/>
      <c r="F180" s="980"/>
      <c r="G180" s="865"/>
    </row>
    <row r="181" spans="1:7" ht="20.100000000000001" customHeight="1">
      <c r="A181" s="2"/>
      <c r="B181" s="18" t="s">
        <v>301</v>
      </c>
      <c r="C181" s="10"/>
      <c r="D181" s="13"/>
      <c r="E181" s="972"/>
      <c r="F181" s="962"/>
      <c r="G181" s="865"/>
    </row>
    <row r="182" spans="1:7" ht="20.100000000000001" customHeight="1">
      <c r="A182" s="25">
        <v>1</v>
      </c>
      <c r="B182" s="12" t="s">
        <v>302</v>
      </c>
      <c r="C182" s="2" t="s">
        <v>303</v>
      </c>
      <c r="D182" s="8" t="s">
        <v>304</v>
      </c>
      <c r="E182" s="972">
        <v>1000000</v>
      </c>
      <c r="F182" s="962"/>
      <c r="G182" s="865">
        <f t="shared" ref="G182:G187" si="11">E182</f>
        <v>1000000</v>
      </c>
    </row>
    <row r="183" spans="1:7" ht="20.100000000000001" customHeight="1">
      <c r="A183" s="25">
        <v>2</v>
      </c>
      <c r="B183" s="12" t="s">
        <v>305</v>
      </c>
      <c r="C183" s="2" t="s">
        <v>306</v>
      </c>
      <c r="D183" s="14" t="s">
        <v>36</v>
      </c>
      <c r="E183" s="972">
        <v>700000</v>
      </c>
      <c r="F183" s="962"/>
      <c r="G183" s="865">
        <f t="shared" si="11"/>
        <v>700000</v>
      </c>
    </row>
    <row r="184" spans="1:7" ht="20.100000000000001" customHeight="1">
      <c r="A184" s="25">
        <v>3</v>
      </c>
      <c r="B184" s="9" t="s">
        <v>307</v>
      </c>
      <c r="C184" s="10" t="s">
        <v>308</v>
      </c>
      <c r="D184" s="13" t="s">
        <v>50</v>
      </c>
      <c r="E184" s="972">
        <v>700000</v>
      </c>
      <c r="F184" s="962"/>
      <c r="G184" s="865">
        <f t="shared" si="11"/>
        <v>700000</v>
      </c>
    </row>
    <row r="185" spans="1:7" ht="20.100000000000001" customHeight="1">
      <c r="A185" s="25">
        <v>4</v>
      </c>
      <c r="B185" s="9" t="s">
        <v>309</v>
      </c>
      <c r="C185" s="2" t="s">
        <v>310</v>
      </c>
      <c r="D185" s="13" t="s">
        <v>50</v>
      </c>
      <c r="E185" s="972">
        <v>700000</v>
      </c>
      <c r="F185" s="962"/>
      <c r="G185" s="865">
        <f t="shared" si="11"/>
        <v>700000</v>
      </c>
    </row>
    <row r="186" spans="1:7" ht="20.100000000000001" customHeight="1">
      <c r="A186" s="25">
        <v>5</v>
      </c>
      <c r="B186" s="9" t="s">
        <v>311</v>
      </c>
      <c r="C186" s="2" t="s">
        <v>310</v>
      </c>
      <c r="D186" s="13" t="s">
        <v>50</v>
      </c>
      <c r="E186" s="972">
        <v>700000</v>
      </c>
      <c r="F186" s="962"/>
      <c r="G186" s="865">
        <f t="shared" si="11"/>
        <v>700000</v>
      </c>
    </row>
    <row r="187" spans="1:7" ht="20.100000000000001" customHeight="1">
      <c r="A187" s="25">
        <v>6</v>
      </c>
      <c r="B187" s="9" t="s">
        <v>312</v>
      </c>
      <c r="C187" s="2" t="s">
        <v>313</v>
      </c>
      <c r="D187" s="8" t="s">
        <v>53</v>
      </c>
      <c r="E187" s="972">
        <v>500000</v>
      </c>
      <c r="F187" s="962"/>
      <c r="G187" s="865">
        <f t="shared" si="11"/>
        <v>500000</v>
      </c>
    </row>
    <row r="188" spans="1:7" ht="20.100000000000001" customHeight="1">
      <c r="A188" s="25">
        <v>7</v>
      </c>
      <c r="B188" s="9" t="s">
        <v>314</v>
      </c>
      <c r="C188" s="10" t="s">
        <v>232</v>
      </c>
      <c r="D188" s="13" t="s">
        <v>64</v>
      </c>
      <c r="E188" s="972">
        <v>500000</v>
      </c>
      <c r="F188" s="962">
        <f>E188</f>
        <v>500000</v>
      </c>
      <c r="G188" s="865"/>
    </row>
    <row r="189" spans="1:7" ht="20.100000000000001" customHeight="1">
      <c r="A189" s="25">
        <v>8</v>
      </c>
      <c r="B189" s="9" t="s">
        <v>315</v>
      </c>
      <c r="C189" s="2" t="s">
        <v>316</v>
      </c>
      <c r="D189" s="13" t="s">
        <v>64</v>
      </c>
      <c r="E189" s="972">
        <v>500000</v>
      </c>
      <c r="F189" s="962">
        <f t="shared" ref="F189:F220" si="12">E189</f>
        <v>500000</v>
      </c>
      <c r="G189" s="865"/>
    </row>
    <row r="190" spans="1:7" ht="20.100000000000001" customHeight="1">
      <c r="A190" s="25">
        <v>9</v>
      </c>
      <c r="B190" s="9" t="s">
        <v>317</v>
      </c>
      <c r="C190" s="10" t="s">
        <v>318</v>
      </c>
      <c r="D190" s="13" t="s">
        <v>67</v>
      </c>
      <c r="E190" s="972">
        <v>500000</v>
      </c>
      <c r="F190" s="962">
        <f t="shared" si="12"/>
        <v>500000</v>
      </c>
      <c r="G190" s="865"/>
    </row>
    <row r="191" spans="1:7" ht="20.100000000000001" customHeight="1">
      <c r="A191" s="25">
        <v>10</v>
      </c>
      <c r="B191" s="9" t="s">
        <v>319</v>
      </c>
      <c r="C191" s="10" t="s">
        <v>320</v>
      </c>
      <c r="D191" s="13" t="s">
        <v>172</v>
      </c>
      <c r="E191" s="972">
        <v>400000</v>
      </c>
      <c r="F191" s="962">
        <f t="shared" si="12"/>
        <v>400000</v>
      </c>
      <c r="G191" s="865"/>
    </row>
    <row r="192" spans="1:7" ht="20.100000000000001" customHeight="1">
      <c r="A192" s="25">
        <v>11</v>
      </c>
      <c r="B192" s="16" t="s">
        <v>321</v>
      </c>
      <c r="C192" s="2" t="s">
        <v>322</v>
      </c>
      <c r="D192" s="13" t="s">
        <v>70</v>
      </c>
      <c r="E192" s="972">
        <v>400000</v>
      </c>
      <c r="F192" s="962">
        <f t="shared" si="12"/>
        <v>400000</v>
      </c>
      <c r="G192" s="865"/>
    </row>
    <row r="193" spans="1:7" ht="20.100000000000001" customHeight="1">
      <c r="A193" s="25">
        <v>12</v>
      </c>
      <c r="B193" s="9" t="s">
        <v>323</v>
      </c>
      <c r="C193" s="2" t="s">
        <v>322</v>
      </c>
      <c r="D193" s="13" t="s">
        <v>131</v>
      </c>
      <c r="E193" s="972">
        <v>400000</v>
      </c>
      <c r="F193" s="962">
        <f t="shared" si="12"/>
        <v>400000</v>
      </c>
      <c r="G193" s="865"/>
    </row>
    <row r="194" spans="1:7" ht="20.100000000000001" customHeight="1">
      <c r="A194" s="25">
        <v>13</v>
      </c>
      <c r="B194" s="9" t="s">
        <v>324</v>
      </c>
      <c r="C194" s="2" t="s">
        <v>322</v>
      </c>
      <c r="D194" s="13" t="s">
        <v>131</v>
      </c>
      <c r="E194" s="972">
        <v>400000</v>
      </c>
      <c r="F194" s="962">
        <f t="shared" si="12"/>
        <v>400000</v>
      </c>
      <c r="G194" s="865"/>
    </row>
    <row r="195" spans="1:7" ht="20.100000000000001" customHeight="1">
      <c r="A195" s="25">
        <v>14</v>
      </c>
      <c r="B195" s="9" t="s">
        <v>325</v>
      </c>
      <c r="C195" s="2" t="s">
        <v>322</v>
      </c>
      <c r="D195" s="13" t="s">
        <v>131</v>
      </c>
      <c r="E195" s="972">
        <v>400000</v>
      </c>
      <c r="F195" s="962">
        <f t="shared" si="12"/>
        <v>400000</v>
      </c>
      <c r="G195" s="865"/>
    </row>
    <row r="196" spans="1:7" ht="20.100000000000001" customHeight="1">
      <c r="A196" s="25">
        <v>15</v>
      </c>
      <c r="B196" s="9" t="s">
        <v>326</v>
      </c>
      <c r="C196" s="2" t="s">
        <v>322</v>
      </c>
      <c r="D196" s="13" t="s">
        <v>70</v>
      </c>
      <c r="E196" s="972">
        <v>400000</v>
      </c>
      <c r="F196" s="962">
        <f t="shared" si="12"/>
        <v>400000</v>
      </c>
      <c r="G196" s="865"/>
    </row>
    <row r="197" spans="1:7" ht="20.100000000000001" customHeight="1">
      <c r="A197" s="25">
        <v>16</v>
      </c>
      <c r="B197" s="9" t="s">
        <v>327</v>
      </c>
      <c r="C197" s="10" t="s">
        <v>328</v>
      </c>
      <c r="D197" s="13" t="s">
        <v>151</v>
      </c>
      <c r="E197" s="976">
        <v>300000</v>
      </c>
      <c r="F197" s="962">
        <f t="shared" si="12"/>
        <v>300000</v>
      </c>
      <c r="G197" s="865"/>
    </row>
    <row r="198" spans="1:7" ht="20.100000000000001" customHeight="1">
      <c r="A198" s="25">
        <v>17</v>
      </c>
      <c r="B198" s="9" t="s">
        <v>329</v>
      </c>
      <c r="C198" s="10" t="s">
        <v>330</v>
      </c>
      <c r="D198" s="8" t="s">
        <v>81</v>
      </c>
      <c r="E198" s="976">
        <v>300000</v>
      </c>
      <c r="F198" s="962">
        <f t="shared" si="12"/>
        <v>300000</v>
      </c>
      <c r="G198" s="865"/>
    </row>
    <row r="199" spans="1:7" ht="20.100000000000001" customHeight="1">
      <c r="A199" s="25">
        <v>18</v>
      </c>
      <c r="B199" s="9" t="s">
        <v>331</v>
      </c>
      <c r="C199" s="2" t="s">
        <v>332</v>
      </c>
      <c r="D199" s="13" t="s">
        <v>131</v>
      </c>
      <c r="E199" s="976">
        <v>400000</v>
      </c>
      <c r="F199" s="962">
        <f t="shared" si="12"/>
        <v>400000</v>
      </c>
      <c r="G199" s="865"/>
    </row>
    <row r="200" spans="1:7" ht="20.100000000000001" customHeight="1">
      <c r="A200" s="25">
        <v>19</v>
      </c>
      <c r="B200" s="9" t="s">
        <v>333</v>
      </c>
      <c r="C200" s="2" t="s">
        <v>334</v>
      </c>
      <c r="D200" s="13" t="s">
        <v>75</v>
      </c>
      <c r="E200" s="976">
        <v>300000</v>
      </c>
      <c r="F200" s="962">
        <f t="shared" si="12"/>
        <v>300000</v>
      </c>
      <c r="G200" s="865"/>
    </row>
    <row r="201" spans="1:7" ht="20.100000000000001" customHeight="1">
      <c r="A201" s="25">
        <v>20</v>
      </c>
      <c r="B201" s="9" t="s">
        <v>335</v>
      </c>
      <c r="C201" s="2" t="s">
        <v>332</v>
      </c>
      <c r="D201" s="13" t="s">
        <v>131</v>
      </c>
      <c r="E201" s="976">
        <v>400000</v>
      </c>
      <c r="F201" s="962">
        <f t="shared" si="12"/>
        <v>400000</v>
      </c>
      <c r="G201" s="865"/>
    </row>
    <row r="202" spans="1:7" ht="20.100000000000001" customHeight="1">
      <c r="A202" s="25">
        <v>21</v>
      </c>
      <c r="B202" s="9" t="s">
        <v>336</v>
      </c>
      <c r="C202" s="2" t="s">
        <v>337</v>
      </c>
      <c r="D202" s="13" t="s">
        <v>81</v>
      </c>
      <c r="E202" s="972">
        <v>300000</v>
      </c>
      <c r="F202" s="962">
        <f t="shared" si="12"/>
        <v>300000</v>
      </c>
      <c r="G202" s="865"/>
    </row>
    <row r="203" spans="1:7" ht="20.100000000000001" customHeight="1">
      <c r="A203" s="25">
        <v>22</v>
      </c>
      <c r="B203" s="16" t="s">
        <v>338</v>
      </c>
      <c r="C203" s="10" t="s">
        <v>339</v>
      </c>
      <c r="D203" s="13" t="s">
        <v>86</v>
      </c>
      <c r="E203" s="972">
        <v>300000</v>
      </c>
      <c r="F203" s="962">
        <f t="shared" si="12"/>
        <v>300000</v>
      </c>
      <c r="G203" s="865"/>
    </row>
    <row r="204" spans="1:7" ht="20.100000000000001" customHeight="1">
      <c r="A204" s="25">
        <v>23</v>
      </c>
      <c r="B204" s="16" t="s">
        <v>340</v>
      </c>
      <c r="C204" s="10" t="s">
        <v>339</v>
      </c>
      <c r="D204" s="13" t="s">
        <v>86</v>
      </c>
      <c r="E204" s="972">
        <v>300000</v>
      </c>
      <c r="F204" s="962">
        <f t="shared" si="12"/>
        <v>300000</v>
      </c>
      <c r="G204" s="865"/>
    </row>
    <row r="205" spans="1:7" ht="18.75" customHeight="1">
      <c r="A205" s="25">
        <v>24</v>
      </c>
      <c r="B205" s="16" t="s">
        <v>341</v>
      </c>
      <c r="C205" s="2" t="s">
        <v>342</v>
      </c>
      <c r="D205" s="8" t="s">
        <v>99</v>
      </c>
      <c r="E205" s="972">
        <v>300000</v>
      </c>
      <c r="F205" s="962">
        <f t="shared" si="12"/>
        <v>300000</v>
      </c>
      <c r="G205" s="865"/>
    </row>
    <row r="206" spans="1:7" ht="20.100000000000001" customHeight="1">
      <c r="A206" s="25">
        <v>25</v>
      </c>
      <c r="B206" s="16" t="s">
        <v>343</v>
      </c>
      <c r="C206" s="10" t="s">
        <v>344</v>
      </c>
      <c r="D206" s="8" t="s">
        <v>225</v>
      </c>
      <c r="E206" s="972">
        <v>300000</v>
      </c>
      <c r="F206" s="962">
        <f t="shared" si="12"/>
        <v>300000</v>
      </c>
      <c r="G206" s="865"/>
    </row>
    <row r="207" spans="1:7" ht="20.100000000000001" customHeight="1">
      <c r="A207" s="25">
        <v>26</v>
      </c>
      <c r="B207" s="16" t="s">
        <v>345</v>
      </c>
      <c r="C207" s="10" t="s">
        <v>346</v>
      </c>
      <c r="D207" s="13" t="s">
        <v>105</v>
      </c>
      <c r="E207" s="972">
        <v>300000</v>
      </c>
      <c r="F207" s="962">
        <f t="shared" si="12"/>
        <v>300000</v>
      </c>
      <c r="G207" s="865"/>
    </row>
    <row r="208" spans="1:7" ht="20.100000000000001" customHeight="1">
      <c r="A208" s="25">
        <v>27</v>
      </c>
      <c r="B208" s="16" t="s">
        <v>347</v>
      </c>
      <c r="C208" s="10" t="s">
        <v>348</v>
      </c>
      <c r="D208" s="13" t="s">
        <v>105</v>
      </c>
      <c r="E208" s="972">
        <v>300000</v>
      </c>
      <c r="F208" s="962">
        <f t="shared" si="12"/>
        <v>300000</v>
      </c>
      <c r="G208" s="865"/>
    </row>
    <row r="209" spans="1:8" ht="20.100000000000001" customHeight="1">
      <c r="A209" s="25">
        <v>28</v>
      </c>
      <c r="B209" s="16" t="s">
        <v>349</v>
      </c>
      <c r="C209" s="10" t="s">
        <v>350</v>
      </c>
      <c r="D209" s="13" t="s">
        <v>105</v>
      </c>
      <c r="E209" s="972">
        <v>300000</v>
      </c>
      <c r="F209" s="962">
        <f t="shared" si="12"/>
        <v>300000</v>
      </c>
      <c r="G209" s="865"/>
    </row>
    <row r="210" spans="1:8" ht="20.100000000000001" customHeight="1">
      <c r="A210" s="25">
        <v>29</v>
      </c>
      <c r="B210" s="16" t="s">
        <v>351</v>
      </c>
      <c r="C210" s="2" t="s">
        <v>88</v>
      </c>
      <c r="D210" s="8" t="s">
        <v>225</v>
      </c>
      <c r="E210" s="972">
        <v>300000</v>
      </c>
      <c r="F210" s="962">
        <f t="shared" si="12"/>
        <v>300000</v>
      </c>
      <c r="G210" s="865"/>
    </row>
    <row r="211" spans="1:8" ht="20.100000000000001" customHeight="1">
      <c r="A211" s="25">
        <v>30</v>
      </c>
      <c r="B211" s="16" t="s">
        <v>352</v>
      </c>
      <c r="C211" s="10" t="s">
        <v>348</v>
      </c>
      <c r="D211" s="13" t="s">
        <v>105</v>
      </c>
      <c r="E211" s="972">
        <v>300000</v>
      </c>
      <c r="F211" s="962">
        <f t="shared" si="12"/>
        <v>300000</v>
      </c>
      <c r="G211" s="865"/>
    </row>
    <row r="212" spans="1:8" ht="20.100000000000001" customHeight="1">
      <c r="A212" s="25">
        <v>31</v>
      </c>
      <c r="B212" s="16" t="s">
        <v>353</v>
      </c>
      <c r="C212" s="10" t="s">
        <v>354</v>
      </c>
      <c r="D212" s="13" t="s">
        <v>108</v>
      </c>
      <c r="E212" s="972">
        <v>300000</v>
      </c>
      <c r="F212" s="962">
        <f t="shared" si="12"/>
        <v>300000</v>
      </c>
      <c r="G212" s="865"/>
    </row>
    <row r="213" spans="1:8" ht="20.100000000000001" customHeight="1">
      <c r="A213" s="25">
        <v>32</v>
      </c>
      <c r="B213" s="16" t="s">
        <v>355</v>
      </c>
      <c r="C213" s="10" t="s">
        <v>354</v>
      </c>
      <c r="D213" s="13" t="s">
        <v>108</v>
      </c>
      <c r="E213" s="972">
        <v>300000</v>
      </c>
      <c r="F213" s="962">
        <f t="shared" si="12"/>
        <v>300000</v>
      </c>
      <c r="G213" s="865"/>
    </row>
    <row r="214" spans="1:8" ht="20.100000000000001" customHeight="1">
      <c r="A214" s="25">
        <v>33</v>
      </c>
      <c r="B214" s="16" t="s">
        <v>356</v>
      </c>
      <c r="C214" s="10" t="s">
        <v>344</v>
      </c>
      <c r="D214" s="13" t="s">
        <v>111</v>
      </c>
      <c r="E214" s="972">
        <v>300000</v>
      </c>
      <c r="F214" s="962">
        <f t="shared" si="12"/>
        <v>300000</v>
      </c>
      <c r="G214" s="865"/>
    </row>
    <row r="215" spans="1:8" ht="20.100000000000001" customHeight="1">
      <c r="A215" s="25">
        <v>34</v>
      </c>
      <c r="B215" s="16" t="s">
        <v>357</v>
      </c>
      <c r="C215" s="10" t="s">
        <v>344</v>
      </c>
      <c r="D215" s="13" t="s">
        <v>111</v>
      </c>
      <c r="E215" s="972">
        <v>300000</v>
      </c>
      <c r="F215" s="962">
        <f t="shared" si="12"/>
        <v>300000</v>
      </c>
      <c r="G215" s="865"/>
    </row>
    <row r="216" spans="1:8" ht="20.100000000000001" customHeight="1">
      <c r="A216" s="25">
        <v>35</v>
      </c>
      <c r="B216" s="16" t="s">
        <v>358</v>
      </c>
      <c r="C216" s="10" t="s">
        <v>344</v>
      </c>
      <c r="D216" s="13" t="s">
        <v>111</v>
      </c>
      <c r="E216" s="972">
        <v>300000</v>
      </c>
      <c r="F216" s="962">
        <f t="shared" si="12"/>
        <v>300000</v>
      </c>
      <c r="G216" s="865"/>
    </row>
    <row r="217" spans="1:8" ht="20.100000000000001" customHeight="1">
      <c r="A217" s="25">
        <v>36</v>
      </c>
      <c r="B217" s="16" t="s">
        <v>359</v>
      </c>
      <c r="C217" s="10" t="s">
        <v>344</v>
      </c>
      <c r="D217" s="13" t="s">
        <v>277</v>
      </c>
      <c r="E217" s="972">
        <v>300000</v>
      </c>
      <c r="F217" s="962">
        <f t="shared" si="12"/>
        <v>300000</v>
      </c>
      <c r="G217" s="865"/>
      <c r="H217" s="11"/>
    </row>
    <row r="218" spans="1:8" ht="20.100000000000001" customHeight="1">
      <c r="A218" s="25">
        <v>37</v>
      </c>
      <c r="B218" s="16" t="s">
        <v>360</v>
      </c>
      <c r="C218" s="10" t="s">
        <v>344</v>
      </c>
      <c r="D218" s="13" t="s">
        <v>277</v>
      </c>
      <c r="E218" s="972">
        <v>300000</v>
      </c>
      <c r="F218" s="962">
        <f t="shared" si="12"/>
        <v>300000</v>
      </c>
      <c r="G218" s="865"/>
      <c r="H218" s="11"/>
    </row>
    <row r="219" spans="1:8" ht="20.100000000000001" customHeight="1">
      <c r="A219" s="25">
        <v>38</v>
      </c>
      <c r="B219" s="9" t="s">
        <v>361</v>
      </c>
      <c r="C219" s="10" t="s">
        <v>556</v>
      </c>
      <c r="D219" s="13" t="s">
        <v>363</v>
      </c>
      <c r="E219" s="972">
        <v>150000</v>
      </c>
      <c r="F219" s="962">
        <f t="shared" si="12"/>
        <v>150000</v>
      </c>
      <c r="G219" s="865"/>
    </row>
    <row r="220" spans="1:8" ht="20.100000000000001" customHeight="1">
      <c r="A220" s="25">
        <v>39</v>
      </c>
      <c r="B220" s="9" t="s">
        <v>364</v>
      </c>
      <c r="C220" s="10" t="s">
        <v>556</v>
      </c>
      <c r="D220" s="13" t="s">
        <v>363</v>
      </c>
      <c r="E220" s="972">
        <v>150000</v>
      </c>
      <c r="F220" s="962">
        <f t="shared" si="12"/>
        <v>150000</v>
      </c>
      <c r="G220" s="865"/>
    </row>
    <row r="221" spans="1:8" ht="20.100000000000001" customHeight="1">
      <c r="A221" s="25">
        <v>40</v>
      </c>
      <c r="B221" s="9" t="s">
        <v>365</v>
      </c>
      <c r="C221" s="10" t="s">
        <v>556</v>
      </c>
      <c r="D221" s="13" t="s">
        <v>363</v>
      </c>
      <c r="E221" s="972">
        <v>150000</v>
      </c>
      <c r="F221" s="962">
        <f t="shared" ref="F221:F247" si="13">E221</f>
        <v>150000</v>
      </c>
      <c r="G221" s="865"/>
    </row>
    <row r="222" spans="1:8" ht="20.100000000000001" customHeight="1">
      <c r="A222" s="25">
        <v>41</v>
      </c>
      <c r="B222" s="9" t="s">
        <v>366</v>
      </c>
      <c r="C222" s="10" t="s">
        <v>556</v>
      </c>
      <c r="D222" s="13" t="s">
        <v>363</v>
      </c>
      <c r="E222" s="972">
        <v>150000</v>
      </c>
      <c r="F222" s="962">
        <f t="shared" si="13"/>
        <v>150000</v>
      </c>
      <c r="G222" s="865"/>
    </row>
    <row r="223" spans="1:8" ht="20.100000000000001" customHeight="1">
      <c r="A223" s="25">
        <v>42</v>
      </c>
      <c r="B223" s="9" t="s">
        <v>367</v>
      </c>
      <c r="C223" s="10" t="s">
        <v>556</v>
      </c>
      <c r="D223" s="13" t="s">
        <v>368</v>
      </c>
      <c r="E223" s="972">
        <v>150000</v>
      </c>
      <c r="F223" s="962">
        <f t="shared" si="13"/>
        <v>150000</v>
      </c>
      <c r="G223" s="865"/>
    </row>
    <row r="224" spans="1:8" ht="20.100000000000001" customHeight="1">
      <c r="A224" s="25">
        <v>43</v>
      </c>
      <c r="B224" s="9" t="s">
        <v>369</v>
      </c>
      <c r="C224" s="10" t="s">
        <v>556</v>
      </c>
      <c r="D224" s="13" t="s">
        <v>368</v>
      </c>
      <c r="E224" s="972">
        <v>150000</v>
      </c>
      <c r="F224" s="962">
        <f t="shared" si="13"/>
        <v>150000</v>
      </c>
      <c r="G224" s="865"/>
    </row>
    <row r="225" spans="1:7" ht="20.100000000000001" customHeight="1">
      <c r="A225" s="25">
        <v>44</v>
      </c>
      <c r="B225" s="12" t="s">
        <v>370</v>
      </c>
      <c r="C225" s="10" t="s">
        <v>556</v>
      </c>
      <c r="D225" s="13" t="s">
        <v>368</v>
      </c>
      <c r="E225" s="972">
        <v>150000</v>
      </c>
      <c r="F225" s="962">
        <f t="shared" si="13"/>
        <v>150000</v>
      </c>
      <c r="G225" s="865"/>
    </row>
    <row r="226" spans="1:7" ht="20.100000000000001" customHeight="1">
      <c r="A226" s="25">
        <v>45</v>
      </c>
      <c r="B226" s="9" t="s">
        <v>371</v>
      </c>
      <c r="C226" s="10" t="s">
        <v>556</v>
      </c>
      <c r="D226" s="13" t="s">
        <v>368</v>
      </c>
      <c r="E226" s="972">
        <v>150000</v>
      </c>
      <c r="F226" s="962">
        <f t="shared" si="13"/>
        <v>150000</v>
      </c>
      <c r="G226" s="865"/>
    </row>
    <row r="227" spans="1:7" ht="20.100000000000001" customHeight="1">
      <c r="A227" s="25">
        <v>46</v>
      </c>
      <c r="B227" s="16" t="s">
        <v>372</v>
      </c>
      <c r="C227" s="10" t="s">
        <v>556</v>
      </c>
      <c r="D227" s="13" t="s">
        <v>368</v>
      </c>
      <c r="E227" s="972">
        <v>150000</v>
      </c>
      <c r="F227" s="962">
        <f t="shared" si="13"/>
        <v>150000</v>
      </c>
      <c r="G227" s="865"/>
    </row>
    <row r="228" spans="1:7" ht="20.100000000000001" customHeight="1">
      <c r="A228" s="25">
        <v>47</v>
      </c>
      <c r="B228" s="9" t="s">
        <v>373</v>
      </c>
      <c r="C228" s="10" t="s">
        <v>362</v>
      </c>
      <c r="D228" s="13" t="s">
        <v>374</v>
      </c>
      <c r="E228" s="972">
        <v>150000</v>
      </c>
      <c r="F228" s="962">
        <f t="shared" si="13"/>
        <v>150000</v>
      </c>
      <c r="G228" s="865"/>
    </row>
    <row r="229" spans="1:7" ht="20.100000000000001" customHeight="1">
      <c r="A229" s="25">
        <v>48</v>
      </c>
      <c r="B229" s="9" t="s">
        <v>375</v>
      </c>
      <c r="C229" s="10" t="s">
        <v>362</v>
      </c>
      <c r="D229" s="13" t="s">
        <v>374</v>
      </c>
      <c r="E229" s="972">
        <v>150000</v>
      </c>
      <c r="F229" s="962">
        <f t="shared" si="13"/>
        <v>150000</v>
      </c>
      <c r="G229" s="865"/>
    </row>
    <row r="230" spans="1:7" ht="20.100000000000001" customHeight="1">
      <c r="A230" s="25">
        <v>49</v>
      </c>
      <c r="B230" s="16" t="s">
        <v>376</v>
      </c>
      <c r="C230" s="10" t="s">
        <v>362</v>
      </c>
      <c r="D230" s="13" t="s">
        <v>377</v>
      </c>
      <c r="E230" s="972">
        <v>150000</v>
      </c>
      <c r="F230" s="962">
        <f t="shared" si="13"/>
        <v>150000</v>
      </c>
      <c r="G230" s="865"/>
    </row>
    <row r="231" spans="1:7" ht="20.100000000000001" customHeight="1">
      <c r="A231" s="25">
        <v>50</v>
      </c>
      <c r="B231" s="9" t="s">
        <v>378</v>
      </c>
      <c r="C231" s="10" t="s">
        <v>557</v>
      </c>
      <c r="D231" s="13" t="s">
        <v>379</v>
      </c>
      <c r="E231" s="972">
        <v>150000</v>
      </c>
      <c r="F231" s="962">
        <f t="shared" si="13"/>
        <v>150000</v>
      </c>
      <c r="G231" s="865"/>
    </row>
    <row r="232" spans="1:7" ht="20.100000000000001" customHeight="1">
      <c r="A232" s="25">
        <v>51</v>
      </c>
      <c r="B232" s="9" t="s">
        <v>380</v>
      </c>
      <c r="C232" s="10" t="s">
        <v>557</v>
      </c>
      <c r="D232" s="13" t="s">
        <v>379</v>
      </c>
      <c r="E232" s="972">
        <v>150000</v>
      </c>
      <c r="F232" s="962">
        <f t="shared" si="13"/>
        <v>150000</v>
      </c>
      <c r="G232" s="865"/>
    </row>
    <row r="233" spans="1:7" ht="20.100000000000001" customHeight="1">
      <c r="A233" s="25">
        <v>52</v>
      </c>
      <c r="B233" s="9" t="s">
        <v>381</v>
      </c>
      <c r="C233" s="10" t="s">
        <v>557</v>
      </c>
      <c r="D233" s="13" t="s">
        <v>379</v>
      </c>
      <c r="E233" s="972">
        <v>150000</v>
      </c>
      <c r="F233" s="962">
        <f t="shared" si="13"/>
        <v>150000</v>
      </c>
      <c r="G233" s="865"/>
    </row>
    <row r="234" spans="1:7" ht="20.100000000000001" customHeight="1">
      <c r="A234" s="25">
        <v>53</v>
      </c>
      <c r="B234" s="9" t="s">
        <v>382</v>
      </c>
      <c r="C234" s="10" t="s">
        <v>557</v>
      </c>
      <c r="D234" s="13" t="s">
        <v>379</v>
      </c>
      <c r="E234" s="972">
        <v>150000</v>
      </c>
      <c r="F234" s="962">
        <f t="shared" si="13"/>
        <v>150000</v>
      </c>
      <c r="G234" s="865"/>
    </row>
    <row r="235" spans="1:7" ht="20.100000000000001" customHeight="1">
      <c r="A235" s="25">
        <v>54</v>
      </c>
      <c r="B235" s="9" t="s">
        <v>383</v>
      </c>
      <c r="C235" s="10" t="s">
        <v>557</v>
      </c>
      <c r="D235" s="13" t="s">
        <v>379</v>
      </c>
      <c r="E235" s="972">
        <v>150000</v>
      </c>
      <c r="F235" s="962">
        <f t="shared" si="13"/>
        <v>150000</v>
      </c>
      <c r="G235" s="865"/>
    </row>
    <row r="236" spans="1:7" ht="20.100000000000001" customHeight="1">
      <c r="A236" s="25">
        <v>55</v>
      </c>
      <c r="B236" s="9" t="s">
        <v>384</v>
      </c>
      <c r="C236" s="10" t="s">
        <v>557</v>
      </c>
      <c r="D236" s="13" t="s">
        <v>379</v>
      </c>
      <c r="E236" s="972">
        <v>150000</v>
      </c>
      <c r="F236" s="962">
        <f t="shared" si="13"/>
        <v>150000</v>
      </c>
      <c r="G236" s="865"/>
    </row>
    <row r="237" spans="1:7" ht="20.100000000000001" customHeight="1">
      <c r="A237" s="25">
        <v>56</v>
      </c>
      <c r="B237" s="16" t="s">
        <v>385</v>
      </c>
      <c r="C237" s="10" t="s">
        <v>557</v>
      </c>
      <c r="D237" s="13" t="s">
        <v>386</v>
      </c>
      <c r="E237" s="972">
        <v>150000</v>
      </c>
      <c r="F237" s="962">
        <f t="shared" si="13"/>
        <v>150000</v>
      </c>
      <c r="G237" s="865"/>
    </row>
    <row r="238" spans="1:7" ht="20.100000000000001" customHeight="1">
      <c r="A238" s="25">
        <v>57</v>
      </c>
      <c r="B238" s="16" t="s">
        <v>387</v>
      </c>
      <c r="C238" s="10" t="s">
        <v>558</v>
      </c>
      <c r="D238" s="13" t="s">
        <v>390</v>
      </c>
      <c r="E238" s="972">
        <v>100000</v>
      </c>
      <c r="F238" s="962">
        <f t="shared" si="13"/>
        <v>100000</v>
      </c>
      <c r="G238" s="865"/>
    </row>
    <row r="239" spans="1:7" ht="20.100000000000001" customHeight="1">
      <c r="A239" s="25">
        <v>58</v>
      </c>
      <c r="B239" s="9" t="s">
        <v>388</v>
      </c>
      <c r="C239" s="10" t="s">
        <v>389</v>
      </c>
      <c r="D239" s="13" t="s">
        <v>390</v>
      </c>
      <c r="E239" s="972">
        <v>100000</v>
      </c>
      <c r="F239" s="962">
        <f t="shared" si="13"/>
        <v>100000</v>
      </c>
      <c r="G239" s="865"/>
    </row>
    <row r="240" spans="1:7" ht="20.100000000000001" customHeight="1">
      <c r="A240" s="25">
        <v>59</v>
      </c>
      <c r="B240" s="16" t="s">
        <v>391</v>
      </c>
      <c r="C240" s="10" t="s">
        <v>392</v>
      </c>
      <c r="D240" s="13" t="s">
        <v>393</v>
      </c>
      <c r="E240" s="972">
        <v>100000</v>
      </c>
      <c r="F240" s="962">
        <f t="shared" si="13"/>
        <v>100000</v>
      </c>
      <c r="G240" s="865"/>
    </row>
    <row r="241" spans="1:7" ht="20.100000000000001" customHeight="1">
      <c r="A241" s="25">
        <v>60</v>
      </c>
      <c r="B241" s="16" t="s">
        <v>394</v>
      </c>
      <c r="C241" s="10" t="s">
        <v>392</v>
      </c>
      <c r="D241" s="13" t="s">
        <v>395</v>
      </c>
      <c r="E241" s="972">
        <v>100000</v>
      </c>
      <c r="F241" s="962">
        <f t="shared" si="13"/>
        <v>100000</v>
      </c>
      <c r="G241" s="865"/>
    </row>
    <row r="242" spans="1:7" ht="20.100000000000001" customHeight="1">
      <c r="A242" s="25">
        <v>61</v>
      </c>
      <c r="B242" s="16" t="s">
        <v>396</v>
      </c>
      <c r="C242" s="10" t="s">
        <v>392</v>
      </c>
      <c r="D242" s="13" t="s">
        <v>397</v>
      </c>
      <c r="E242" s="972">
        <v>100000</v>
      </c>
      <c r="F242" s="962">
        <f t="shared" si="13"/>
        <v>100000</v>
      </c>
      <c r="G242" s="865"/>
    </row>
    <row r="243" spans="1:7" ht="20.100000000000001" customHeight="1">
      <c r="A243" s="25">
        <v>62</v>
      </c>
      <c r="B243" s="16" t="s">
        <v>398</v>
      </c>
      <c r="C243" s="10" t="s">
        <v>399</v>
      </c>
      <c r="D243" s="13" t="s">
        <v>400</v>
      </c>
      <c r="E243" s="972">
        <v>100000</v>
      </c>
      <c r="F243" s="962">
        <f t="shared" si="13"/>
        <v>100000</v>
      </c>
      <c r="G243" s="861"/>
    </row>
    <row r="244" spans="1:7" ht="20.100000000000001" customHeight="1">
      <c r="A244" s="25">
        <v>63</v>
      </c>
      <c r="B244" s="16" t="s">
        <v>401</v>
      </c>
      <c r="C244" s="10" t="s">
        <v>399</v>
      </c>
      <c r="D244" s="13" t="s">
        <v>400</v>
      </c>
      <c r="E244" s="972">
        <v>100000</v>
      </c>
      <c r="F244" s="962">
        <f t="shared" si="13"/>
        <v>100000</v>
      </c>
      <c r="G244" s="861"/>
    </row>
    <row r="245" spans="1:7" ht="20.100000000000001" customHeight="1">
      <c r="A245" s="25">
        <v>64</v>
      </c>
      <c r="B245" s="16" t="s">
        <v>402</v>
      </c>
      <c r="C245" s="10" t="s">
        <v>399</v>
      </c>
      <c r="D245" s="13" t="s">
        <v>400</v>
      </c>
      <c r="E245" s="972">
        <v>100000</v>
      </c>
      <c r="F245" s="962">
        <f t="shared" si="13"/>
        <v>100000</v>
      </c>
      <c r="G245" s="861"/>
    </row>
    <row r="246" spans="1:7" ht="20.100000000000001" customHeight="1">
      <c r="A246" s="25">
        <v>65</v>
      </c>
      <c r="B246" s="16" t="s">
        <v>403</v>
      </c>
      <c r="C246" s="10" t="s">
        <v>404</v>
      </c>
      <c r="D246" s="13" t="s">
        <v>405</v>
      </c>
      <c r="E246" s="972">
        <v>100000</v>
      </c>
      <c r="F246" s="962">
        <f t="shared" si="13"/>
        <v>100000</v>
      </c>
      <c r="G246" s="865"/>
    </row>
    <row r="247" spans="1:7" ht="20.100000000000001" customHeight="1">
      <c r="A247" s="25">
        <v>66</v>
      </c>
      <c r="B247" s="16" t="s">
        <v>406</v>
      </c>
      <c r="C247" s="10" t="s">
        <v>404</v>
      </c>
      <c r="D247" s="13" t="s">
        <v>405</v>
      </c>
      <c r="E247" s="972">
        <v>100000</v>
      </c>
      <c r="F247" s="962">
        <f t="shared" si="13"/>
        <v>100000</v>
      </c>
      <c r="G247" s="865"/>
    </row>
    <row r="248" spans="1:7" ht="30.75" customHeight="1">
      <c r="A248" s="25"/>
      <c r="B248" s="6" t="s">
        <v>120</v>
      </c>
      <c r="C248" s="26" t="s">
        <v>407</v>
      </c>
      <c r="D248" s="27"/>
      <c r="E248" s="977">
        <f ca="1">SUM(E182:E249)</f>
        <v>18850000</v>
      </c>
      <c r="F248" s="978">
        <f>SUM(F182:F247)</f>
        <v>14550000</v>
      </c>
      <c r="G248" s="856">
        <f>SUM(G182:G247)</f>
        <v>4300000</v>
      </c>
    </row>
    <row r="249" spans="1:7" ht="30" customHeight="1">
      <c r="A249" s="2"/>
      <c r="B249" s="28" t="s">
        <v>408</v>
      </c>
      <c r="C249" s="29">
        <f>C47+C57+C72+C77+C91+C105+C121+C131+C145+C164+C179+C248</f>
        <v>197</v>
      </c>
      <c r="D249" s="30"/>
      <c r="E249" s="986">
        <f ca="1">E248+E179+E164+E156+E145+E131+E121+E105+E91+E77+E72+E57+E47</f>
        <v>84450000</v>
      </c>
      <c r="F249" s="868">
        <f>F248+F179+F164+F156+F145+F131+F121+F105+F91+F77+F72+F57+F47</f>
        <v>46350000</v>
      </c>
      <c r="G249" s="867">
        <f>G248+G179+G164+G156+G145+G131+G121+G105+G91+G77+G72+G57+G47</f>
        <v>38100000</v>
      </c>
    </row>
    <row r="250" spans="1:7" ht="26.1" customHeight="1">
      <c r="B250" s="31"/>
      <c r="D250" s="32"/>
      <c r="F250" s="32"/>
      <c r="G250" s="194"/>
    </row>
    <row r="251" spans="1:7" ht="29.1" customHeight="1">
      <c r="B251" s="31"/>
      <c r="C251" s="32"/>
      <c r="D251" s="32"/>
      <c r="F251" s="32"/>
      <c r="G251" s="194"/>
    </row>
    <row r="252" spans="1:7" ht="20.100000000000001" customHeight="1">
      <c r="E252" s="32"/>
    </row>
    <row r="253" spans="1:7" ht="20.100000000000001" customHeight="1">
      <c r="E253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1" orientation="landscape" horizontalDpi="1200" verticalDpi="1200"/>
  <headerFooter alignWithMargins="0"/>
  <rowBreaks count="9" manualBreakCount="9">
    <brk id="26" max="6" man="1"/>
    <brk id="47" max="6" man="1"/>
    <brk id="72" max="6" man="1"/>
    <brk id="96" max="6" man="1"/>
    <brk id="117" max="6" man="1"/>
    <brk id="138" max="6" man="1"/>
    <brk id="162" max="6" man="1"/>
    <brk id="186" max="6" man="1"/>
    <brk id="210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3"/>
  <sheetViews>
    <sheetView zoomScale="90" zoomScaleNormal="90" zoomScaleSheetLayoutView="50" workbookViewId="0">
      <pane xSplit="3" ySplit="7" topLeftCell="F248" activePane="bottomRight" state="frozen"/>
      <selection pane="topRight"/>
      <selection pane="bottomLeft"/>
      <selection pane="bottomRight" activeCell="K251" sqref="K25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7.85546875" style="1" customWidth="1"/>
    <col min="8" max="8" width="18.28515625" style="1" customWidth="1"/>
    <col min="9" max="12" width="16.7109375" style="1" customWidth="1"/>
    <col min="13" max="13" width="19.28515625" style="1" customWidth="1"/>
    <col min="14" max="15" width="17.85546875" style="1" customWidth="1"/>
    <col min="16" max="16" width="13.28515625" style="1" customWidth="1"/>
    <col min="17" max="18" width="17.85546875" style="1" customWidth="1"/>
    <col min="19" max="16384" width="9.140625" style="1"/>
  </cols>
  <sheetData>
    <row r="1" spans="1:18" ht="27" customHeight="1">
      <c r="A1" s="1124" t="s">
        <v>0</v>
      </c>
      <c r="B1" s="1124"/>
      <c r="C1" s="1124"/>
      <c r="D1" s="1124"/>
      <c r="E1" s="1124"/>
      <c r="F1" s="1124"/>
      <c r="G1" s="1124"/>
      <c r="H1" s="183"/>
      <c r="M1" s="61"/>
      <c r="N1" s="61"/>
      <c r="O1" s="61"/>
      <c r="Q1" s="61"/>
      <c r="R1" s="61"/>
    </row>
    <row r="2" spans="1:18" ht="33.75" customHeight="1">
      <c r="A2" s="61" t="s">
        <v>559</v>
      </c>
      <c r="B2" s="62"/>
      <c r="C2" s="61"/>
      <c r="D2" s="61"/>
      <c r="E2" s="182"/>
      <c r="F2" s="182"/>
      <c r="G2" s="182"/>
      <c r="H2" s="262"/>
      <c r="I2" s="63"/>
      <c r="J2" s="63"/>
      <c r="K2" s="63"/>
      <c r="L2" s="63"/>
      <c r="M2" s="182"/>
      <c r="N2" s="182"/>
      <c r="O2" s="182"/>
      <c r="P2" s="63"/>
      <c r="Q2" s="182"/>
      <c r="R2" s="182"/>
    </row>
    <row r="3" spans="1:18" ht="9.75" customHeight="1">
      <c r="E3" s="183" t="e">
        <f>'[1]FEB 08'!E11/'[1]FEB 08'!M11</f>
        <v>#REF!</v>
      </c>
      <c r="F3" s="183"/>
      <c r="G3" s="183"/>
      <c r="H3" s="183"/>
      <c r="M3" s="183"/>
      <c r="N3" s="183"/>
      <c r="O3" s="183"/>
      <c r="Q3" s="183"/>
      <c r="R3" s="183"/>
    </row>
    <row r="4" spans="1:18" ht="49.5" customHeight="1">
      <c r="A4" s="2"/>
      <c r="B4" s="3" t="s">
        <v>2</v>
      </c>
      <c r="C4" s="4" t="s">
        <v>3</v>
      </c>
      <c r="D4" s="5" t="s">
        <v>560</v>
      </c>
      <c r="E4" s="184" t="s">
        <v>561</v>
      </c>
      <c r="F4" s="5" t="s">
        <v>562</v>
      </c>
      <c r="G4" s="184" t="s">
        <v>563</v>
      </c>
      <c r="H4" s="184" t="s">
        <v>564</v>
      </c>
      <c r="I4" s="184" t="s">
        <v>565</v>
      </c>
      <c r="J4" s="184" t="s">
        <v>566</v>
      </c>
      <c r="K4" s="184" t="s">
        <v>567</v>
      </c>
      <c r="L4" s="184" t="s">
        <v>568</v>
      </c>
      <c r="M4" s="5" t="s">
        <v>562</v>
      </c>
      <c r="N4" s="184" t="s">
        <v>569</v>
      </c>
      <c r="O4" s="184" t="s">
        <v>570</v>
      </c>
      <c r="P4" s="184" t="s">
        <v>571</v>
      </c>
      <c r="Q4" s="184" t="s">
        <v>572</v>
      </c>
      <c r="R4" s="184" t="s">
        <v>573</v>
      </c>
    </row>
    <row r="5" spans="1:18" ht="17.25" customHeight="1">
      <c r="C5" s="6"/>
      <c r="D5" s="6"/>
      <c r="E5" s="67" t="s">
        <v>21</v>
      </c>
      <c r="F5" s="67"/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/>
      <c r="N5" s="67"/>
      <c r="O5" s="67"/>
      <c r="P5" s="67" t="s">
        <v>21</v>
      </c>
      <c r="Q5" s="67"/>
      <c r="R5" s="67"/>
    </row>
    <row r="6" spans="1:18" ht="20.100000000000001" customHeight="1">
      <c r="A6" s="7" t="s">
        <v>22</v>
      </c>
      <c r="B6" s="6" t="s">
        <v>23</v>
      </c>
      <c r="C6" s="6"/>
      <c r="D6" s="6"/>
      <c r="E6" s="67"/>
      <c r="F6" s="67"/>
      <c r="G6" s="19"/>
      <c r="H6" s="67"/>
      <c r="I6" s="67"/>
      <c r="J6" s="67"/>
      <c r="K6" s="67"/>
      <c r="L6" s="67"/>
      <c r="M6" s="67"/>
      <c r="N6" s="19"/>
      <c r="O6" s="19"/>
      <c r="P6" s="67"/>
      <c r="Q6" s="19"/>
      <c r="R6" s="19"/>
    </row>
    <row r="7" spans="1:18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1971137.08333333</v>
      </c>
      <c r="F7" s="10" t="s">
        <v>26</v>
      </c>
      <c r="G7" s="70">
        <v>1971137.08333333</v>
      </c>
      <c r="H7" s="186">
        <f>G7-E7</f>
        <v>0</v>
      </c>
      <c r="I7" s="70">
        <v>0</v>
      </c>
      <c r="J7" s="70"/>
      <c r="K7" s="70">
        <f>J7-I7</f>
        <v>0</v>
      </c>
      <c r="L7" s="70">
        <f>J7*12</f>
        <v>0</v>
      </c>
      <c r="M7" s="10" t="s">
        <v>26</v>
      </c>
      <c r="N7" s="853"/>
      <c r="O7" s="853">
        <f>N7*0.025</f>
        <v>0</v>
      </c>
      <c r="P7" s="70"/>
      <c r="Q7" s="853"/>
      <c r="R7" s="853"/>
    </row>
    <row r="8" spans="1:18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905306.75</v>
      </c>
      <c r="F8" s="8" t="s">
        <v>29</v>
      </c>
      <c r="G8" s="70">
        <v>905306.75</v>
      </c>
      <c r="H8" s="186">
        <f t="shared" ref="H8:H47" si="0">G8-E8</f>
        <v>0</v>
      </c>
      <c r="I8" s="70">
        <v>72424.539999999994</v>
      </c>
      <c r="J8" s="70">
        <f t="shared" ref="J8:J47" si="1">G8*0.08</f>
        <v>72424.539999999994</v>
      </c>
      <c r="K8" s="70">
        <f t="shared" ref="K8:K47" si="2">J8-I8</f>
        <v>0</v>
      </c>
      <c r="L8" s="70">
        <f t="shared" ref="L8:L71" si="3">J8*12</f>
        <v>869094.48</v>
      </c>
      <c r="M8" s="8" t="s">
        <v>29</v>
      </c>
      <c r="N8" s="853">
        <v>554669.5</v>
      </c>
      <c r="O8" s="853"/>
      <c r="P8" s="70"/>
      <c r="Q8" s="853">
        <f>O8-P8</f>
        <v>0</v>
      </c>
      <c r="R8" s="853">
        <f>O8*12</f>
        <v>0</v>
      </c>
    </row>
    <row r="9" spans="1:18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905306.75</v>
      </c>
      <c r="F9" s="8" t="s">
        <v>29</v>
      </c>
      <c r="G9" s="70">
        <v>905306.75</v>
      </c>
      <c r="H9" s="186">
        <f t="shared" si="0"/>
        <v>0</v>
      </c>
      <c r="I9" s="70"/>
      <c r="J9" s="70"/>
      <c r="K9" s="70">
        <f t="shared" si="2"/>
        <v>0</v>
      </c>
      <c r="L9" s="70">
        <f t="shared" si="3"/>
        <v>0</v>
      </c>
      <c r="M9" s="8" t="s">
        <v>29</v>
      </c>
      <c r="N9" s="853"/>
      <c r="O9" s="853">
        <f>N9*0.025</f>
        <v>0</v>
      </c>
      <c r="P9" s="70"/>
      <c r="Q9" s="853">
        <f t="shared" ref="Q9:Q72" si="4">O9-P9</f>
        <v>0</v>
      </c>
      <c r="R9" s="853">
        <f t="shared" ref="R9:R72" si="5">O9*12</f>
        <v>0</v>
      </c>
    </row>
    <row r="10" spans="1:18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905306.75</v>
      </c>
      <c r="F10" s="8" t="s">
        <v>29</v>
      </c>
      <c r="G10" s="70">
        <v>905306.75</v>
      </c>
      <c r="H10" s="186">
        <f t="shared" si="0"/>
        <v>0</v>
      </c>
      <c r="I10" s="70">
        <v>72424.539999999994</v>
      </c>
      <c r="J10" s="70">
        <f t="shared" si="1"/>
        <v>72424.539999999994</v>
      </c>
      <c r="K10" s="70">
        <f t="shared" si="2"/>
        <v>0</v>
      </c>
      <c r="L10" s="70">
        <f t="shared" si="3"/>
        <v>869094.48</v>
      </c>
      <c r="M10" s="8" t="s">
        <v>29</v>
      </c>
      <c r="N10" s="853">
        <v>554669.5</v>
      </c>
      <c r="O10" s="853">
        <f>N10*0.025</f>
        <v>13866.737499999999</v>
      </c>
      <c r="P10" s="70">
        <v>13866.737499999999</v>
      </c>
      <c r="Q10" s="853">
        <f t="shared" si="4"/>
        <v>0</v>
      </c>
      <c r="R10" s="853">
        <f t="shared" si="5"/>
        <v>166400.85</v>
      </c>
    </row>
    <row r="11" spans="1:18" ht="20.100000000000001" customHeight="1">
      <c r="A11" s="8">
        <v>5</v>
      </c>
      <c r="B11" s="9" t="s">
        <v>34</v>
      </c>
      <c r="C11" s="10" t="s">
        <v>35</v>
      </c>
      <c r="D11" s="13" t="s">
        <v>209</v>
      </c>
      <c r="E11" s="70">
        <v>879008.91666666698</v>
      </c>
      <c r="F11" s="13" t="s">
        <v>36</v>
      </c>
      <c r="G11" s="70">
        <v>905306.75</v>
      </c>
      <c r="H11" s="186">
        <f t="shared" si="0"/>
        <v>26297.833333333001</v>
      </c>
      <c r="I11" s="70">
        <v>68216.886666666702</v>
      </c>
      <c r="J11" s="70">
        <f t="shared" si="1"/>
        <v>72424.539999999994</v>
      </c>
      <c r="K11" s="70">
        <f t="shared" si="2"/>
        <v>4207.65333333331</v>
      </c>
      <c r="L11" s="70">
        <f t="shared" si="3"/>
        <v>869094.48</v>
      </c>
      <c r="M11" s="13" t="s">
        <v>36</v>
      </c>
      <c r="N11" s="853">
        <v>554669.5</v>
      </c>
      <c r="O11" s="853">
        <f>N11*0.025</f>
        <v>13866.737499999999</v>
      </c>
      <c r="P11" s="70">
        <v>13084.6625</v>
      </c>
      <c r="Q11" s="853">
        <f t="shared" si="4"/>
        <v>782.07500000000095</v>
      </c>
      <c r="R11" s="853">
        <f t="shared" si="5"/>
        <v>166400.85</v>
      </c>
    </row>
    <row r="12" spans="1:18" ht="20.100000000000001" customHeight="1">
      <c r="A12" s="8">
        <v>6</v>
      </c>
      <c r="B12" s="9" t="s">
        <v>37</v>
      </c>
      <c r="C12" s="2" t="s">
        <v>38</v>
      </c>
      <c r="D12" s="8" t="s">
        <v>50</v>
      </c>
      <c r="E12" s="70">
        <v>722595.5</v>
      </c>
      <c r="F12" s="8" t="s">
        <v>39</v>
      </c>
      <c r="G12" s="70">
        <v>744477</v>
      </c>
      <c r="H12" s="186">
        <f t="shared" si="0"/>
        <v>21881.5</v>
      </c>
      <c r="I12" s="70">
        <v>57807.64</v>
      </c>
      <c r="J12" s="70">
        <f t="shared" si="1"/>
        <v>59558.16</v>
      </c>
      <c r="K12" s="70">
        <f t="shared" si="2"/>
        <v>1750.52</v>
      </c>
      <c r="L12" s="70">
        <f t="shared" si="3"/>
        <v>714697.92</v>
      </c>
      <c r="M12" s="8" t="s">
        <v>39</v>
      </c>
      <c r="N12" s="853">
        <v>459010.5</v>
      </c>
      <c r="O12" s="853">
        <f>N12*0.025</f>
        <v>11475.262500000001</v>
      </c>
      <c r="P12" s="70">
        <v>11149.895833333299</v>
      </c>
      <c r="Q12" s="853">
        <f t="shared" si="4"/>
        <v>325.36666666670101</v>
      </c>
      <c r="R12" s="853">
        <f t="shared" si="5"/>
        <v>137703.15</v>
      </c>
    </row>
    <row r="13" spans="1:18" ht="20.100000000000001" customHeight="1">
      <c r="A13" s="8">
        <v>7</v>
      </c>
      <c r="B13" s="9" t="s">
        <v>40</v>
      </c>
      <c r="C13" s="2" t="s">
        <v>41</v>
      </c>
      <c r="D13" s="13" t="s">
        <v>42</v>
      </c>
      <c r="E13" s="70">
        <v>700713.91666666605</v>
      </c>
      <c r="F13" s="13" t="s">
        <v>42</v>
      </c>
      <c r="G13" s="70">
        <v>700713.91666666605</v>
      </c>
      <c r="H13" s="186">
        <f t="shared" si="0"/>
        <v>0</v>
      </c>
      <c r="I13" s="70">
        <v>56057.113333333298</v>
      </c>
      <c r="J13" s="70">
        <f t="shared" si="1"/>
        <v>56057.113333333298</v>
      </c>
      <c r="K13" s="70">
        <f t="shared" si="2"/>
        <v>0</v>
      </c>
      <c r="L13" s="70">
        <f t="shared" si="3"/>
        <v>672685.35999999905</v>
      </c>
      <c r="M13" s="13" t="s">
        <v>42</v>
      </c>
      <c r="N13" s="853">
        <v>432981.08333333302</v>
      </c>
      <c r="O13" s="853"/>
      <c r="P13" s="70"/>
      <c r="Q13" s="853">
        <f t="shared" si="4"/>
        <v>0</v>
      </c>
      <c r="R13" s="853">
        <f t="shared" si="5"/>
        <v>0</v>
      </c>
    </row>
    <row r="14" spans="1:18" ht="20.100000000000001" customHeight="1">
      <c r="A14" s="8">
        <v>8</v>
      </c>
      <c r="B14" s="12" t="s">
        <v>43</v>
      </c>
      <c r="C14" s="15" t="s">
        <v>44</v>
      </c>
      <c r="D14" s="13" t="s">
        <v>50</v>
      </c>
      <c r="E14" s="70">
        <v>722595.5</v>
      </c>
      <c r="F14" s="13" t="s">
        <v>39</v>
      </c>
      <c r="G14" s="70">
        <v>744477</v>
      </c>
      <c r="H14" s="186">
        <f t="shared" si="0"/>
        <v>21881.5</v>
      </c>
      <c r="I14" s="70">
        <v>57807.64</v>
      </c>
      <c r="J14" s="70">
        <f t="shared" si="1"/>
        <v>59558.16</v>
      </c>
      <c r="K14" s="70">
        <f t="shared" si="2"/>
        <v>1750.52</v>
      </c>
      <c r="L14" s="70">
        <f t="shared" si="3"/>
        <v>714697.92</v>
      </c>
      <c r="M14" s="13" t="s">
        <v>39</v>
      </c>
      <c r="N14" s="853">
        <v>459010.5</v>
      </c>
      <c r="O14" s="853"/>
      <c r="P14" s="70"/>
      <c r="Q14" s="853">
        <f t="shared" si="4"/>
        <v>0</v>
      </c>
      <c r="R14" s="853">
        <f t="shared" si="5"/>
        <v>0</v>
      </c>
    </row>
    <row r="15" spans="1:18" ht="20.100000000000001" customHeight="1">
      <c r="A15" s="8">
        <v>9</v>
      </c>
      <c r="B15" s="9" t="s">
        <v>45</v>
      </c>
      <c r="C15" s="2" t="s">
        <v>46</v>
      </c>
      <c r="D15" s="8" t="s">
        <v>214</v>
      </c>
      <c r="E15" s="70">
        <v>558165.25</v>
      </c>
      <c r="F15" s="8" t="s">
        <v>47</v>
      </c>
      <c r="G15" s="70">
        <v>573911.08333333395</v>
      </c>
      <c r="H15" s="186">
        <f t="shared" si="0"/>
        <v>15745.833333334</v>
      </c>
      <c r="I15" s="70">
        <v>44653.22</v>
      </c>
      <c r="J15" s="70">
        <f t="shared" si="1"/>
        <v>45912.886666666702</v>
      </c>
      <c r="K15" s="70">
        <f t="shared" si="2"/>
        <v>1259.6666666667199</v>
      </c>
      <c r="L15" s="70">
        <f t="shared" si="3"/>
        <v>550954.64000000095</v>
      </c>
      <c r="M15" s="8" t="s">
        <v>47</v>
      </c>
      <c r="N15" s="853">
        <v>357066.66666666698</v>
      </c>
      <c r="O15" s="853">
        <f>N15*0.025</f>
        <v>8926.6666666666806</v>
      </c>
      <c r="P15" s="70">
        <v>8692.8979166666704</v>
      </c>
      <c r="Q15" s="853">
        <f t="shared" si="4"/>
        <v>233.76875000000501</v>
      </c>
      <c r="R15" s="853">
        <f t="shared" si="5"/>
        <v>107120</v>
      </c>
    </row>
    <row r="16" spans="1:18" ht="20.100000000000001" customHeight="1">
      <c r="A16" s="8">
        <v>10</v>
      </c>
      <c r="B16" s="9" t="s">
        <v>48</v>
      </c>
      <c r="C16" s="2" t="s">
        <v>49</v>
      </c>
      <c r="D16" s="8" t="s">
        <v>42</v>
      </c>
      <c r="E16" s="70">
        <v>700713.91666666605</v>
      </c>
      <c r="F16" s="8" t="s">
        <v>50</v>
      </c>
      <c r="G16" s="70">
        <v>722595.5</v>
      </c>
      <c r="H16" s="186">
        <f t="shared" si="0"/>
        <v>21881.583333334002</v>
      </c>
      <c r="I16" s="70">
        <v>56057.113333333298</v>
      </c>
      <c r="J16" s="70">
        <f t="shared" si="1"/>
        <v>57807.64</v>
      </c>
      <c r="K16" s="70">
        <f t="shared" si="2"/>
        <v>1750.5266666667001</v>
      </c>
      <c r="L16" s="70">
        <f t="shared" si="3"/>
        <v>693691.68</v>
      </c>
      <c r="M16" s="8" t="s">
        <v>50</v>
      </c>
      <c r="N16" s="853">
        <v>445995.83333333302</v>
      </c>
      <c r="O16" s="853"/>
      <c r="P16" s="70"/>
      <c r="Q16" s="853">
        <f t="shared" si="4"/>
        <v>0</v>
      </c>
      <c r="R16" s="853">
        <f t="shared" si="5"/>
        <v>0</v>
      </c>
    </row>
    <row r="17" spans="1:18" ht="20.100000000000001" customHeight="1">
      <c r="A17" s="8">
        <v>11</v>
      </c>
      <c r="B17" s="9" t="s">
        <v>51</v>
      </c>
      <c r="C17" s="10" t="s">
        <v>52</v>
      </c>
      <c r="D17" s="8" t="s">
        <v>574</v>
      </c>
      <c r="E17" s="70">
        <v>542419.5</v>
      </c>
      <c r="F17" s="8" t="s">
        <v>53</v>
      </c>
      <c r="G17" s="70">
        <f>'[2] FGN 2024 MGT Monthly'!$I$42+'[2]Peculiar Allowance'!$I$42</f>
        <v>542419.5</v>
      </c>
      <c r="H17" s="186">
        <f t="shared" si="0"/>
        <v>0</v>
      </c>
      <c r="I17" s="70">
        <v>42133.886666666702</v>
      </c>
      <c r="J17" s="70">
        <f t="shared" si="1"/>
        <v>43393.56</v>
      </c>
      <c r="K17" s="70">
        <f t="shared" si="2"/>
        <v>1259.6733333333</v>
      </c>
      <c r="L17" s="70">
        <f t="shared" si="3"/>
        <v>520722.72</v>
      </c>
      <c r="M17" s="8" t="s">
        <v>53</v>
      </c>
      <c r="N17" s="853">
        <v>338365.25</v>
      </c>
      <c r="O17" s="853"/>
      <c r="P17" s="70"/>
      <c r="Q17" s="853">
        <f t="shared" si="4"/>
        <v>0</v>
      </c>
      <c r="R17" s="853">
        <f t="shared" si="5"/>
        <v>0</v>
      </c>
    </row>
    <row r="18" spans="1:18" ht="20.100000000000001" customHeight="1">
      <c r="A18" s="8">
        <v>12</v>
      </c>
      <c r="B18" s="16" t="s">
        <v>54</v>
      </c>
      <c r="C18" s="2" t="s">
        <v>55</v>
      </c>
      <c r="D18" s="13" t="s">
        <v>575</v>
      </c>
      <c r="E18" s="70">
        <v>526725.08333333395</v>
      </c>
      <c r="F18" s="13" t="s">
        <v>56</v>
      </c>
      <c r="G18" s="70">
        <f>'[2]Peculiar Allowance'!$L$41+'[2] FGN 2024 MGT Monthly'!$L$41</f>
        <v>541351.33333333302</v>
      </c>
      <c r="H18" s="186">
        <f t="shared" si="0"/>
        <v>14626.2499999993</v>
      </c>
      <c r="I18" s="70">
        <v>42138.006666666697</v>
      </c>
      <c r="J18" s="70">
        <f t="shared" si="1"/>
        <v>43308.106666666703</v>
      </c>
      <c r="K18" s="70">
        <f t="shared" si="2"/>
        <v>1170.0999999999599</v>
      </c>
      <c r="L18" s="70">
        <f t="shared" si="3"/>
        <v>519697.28</v>
      </c>
      <c r="M18" s="13" t="s">
        <v>56</v>
      </c>
      <c r="N18" s="853">
        <v>337730.83333333302</v>
      </c>
      <c r="O18" s="853">
        <f>N18*0.025</f>
        <v>8443.2708333333303</v>
      </c>
      <c r="P18" s="70">
        <v>8226.1229166666708</v>
      </c>
      <c r="Q18" s="853">
        <f t="shared" si="4"/>
        <v>217.14791666665599</v>
      </c>
      <c r="R18" s="853">
        <f t="shared" si="5"/>
        <v>101319.25</v>
      </c>
    </row>
    <row r="19" spans="1:18" ht="20.100000000000001" customHeight="1">
      <c r="A19" s="8">
        <v>13</v>
      </c>
      <c r="B19" s="16" t="s">
        <v>57</v>
      </c>
      <c r="C19" s="2" t="s">
        <v>58</v>
      </c>
      <c r="D19" s="13" t="s">
        <v>576</v>
      </c>
      <c r="E19" s="630">
        <v>497472.75</v>
      </c>
      <c r="F19" s="13" t="s">
        <v>59</v>
      </c>
      <c r="G19" s="70">
        <f>'[2] FGN 2024 MGT Monthly'!$J$41+'[2]Peculiar Allowance'!$J$41</f>
        <v>512098.91666666698</v>
      </c>
      <c r="H19" s="186">
        <f t="shared" si="0"/>
        <v>14626.166666666601</v>
      </c>
      <c r="I19" s="70">
        <v>39797.82</v>
      </c>
      <c r="J19" s="70">
        <f t="shared" si="1"/>
        <v>40967.913333333301</v>
      </c>
      <c r="K19" s="70">
        <f t="shared" si="2"/>
        <v>1170.0933333333301</v>
      </c>
      <c r="L19" s="70">
        <f t="shared" si="3"/>
        <v>491614.96</v>
      </c>
      <c r="M19" s="13" t="s">
        <v>59</v>
      </c>
      <c r="N19" s="70">
        <f>'[2] FGN 2024 MGT Monthly'!$J$41</f>
        <v>320359.08333333302</v>
      </c>
      <c r="O19" s="853">
        <f>N19*0.025</f>
        <v>8008.9770833333296</v>
      </c>
      <c r="P19" s="780">
        <v>7791.8312500000002</v>
      </c>
      <c r="Q19" s="853">
        <f t="shared" si="4"/>
        <v>217.145833333333</v>
      </c>
      <c r="R19" s="853">
        <f t="shared" si="5"/>
        <v>96107.725000000006</v>
      </c>
    </row>
    <row r="20" spans="1:18" ht="20.100000000000001" customHeight="1">
      <c r="A20" s="8">
        <v>14</v>
      </c>
      <c r="B20" s="16" t="s">
        <v>60</v>
      </c>
      <c r="C20" s="2" t="s">
        <v>61</v>
      </c>
      <c r="D20" s="13" t="s">
        <v>576</v>
      </c>
      <c r="E20" s="630">
        <v>497472.75</v>
      </c>
      <c r="F20" s="13" t="s">
        <v>59</v>
      </c>
      <c r="G20" s="70">
        <f>'[2] FGN 2024 MGT Monthly'!$J$41+'[2]Peculiar Allowance'!$J$41</f>
        <v>512098.91666666698</v>
      </c>
      <c r="H20" s="186">
        <f t="shared" si="0"/>
        <v>14626.166666666601</v>
      </c>
      <c r="I20" s="70">
        <v>39797.82</v>
      </c>
      <c r="J20" s="70">
        <f t="shared" si="1"/>
        <v>40967.913333333301</v>
      </c>
      <c r="K20" s="70">
        <f t="shared" si="2"/>
        <v>1170.0933333333301</v>
      </c>
      <c r="L20" s="70">
        <f t="shared" si="3"/>
        <v>491614.96</v>
      </c>
      <c r="M20" s="13" t="s">
        <v>59</v>
      </c>
      <c r="N20" s="70">
        <f>'[2] FGN 2024 MGT Monthly'!$J$41</f>
        <v>320359.08333333302</v>
      </c>
      <c r="O20" s="853"/>
      <c r="P20" s="2"/>
      <c r="Q20" s="853">
        <f t="shared" si="4"/>
        <v>0</v>
      </c>
      <c r="R20" s="853">
        <f t="shared" si="5"/>
        <v>0</v>
      </c>
    </row>
    <row r="21" spans="1:18" ht="20.100000000000001" customHeight="1">
      <c r="A21" s="8">
        <v>15</v>
      </c>
      <c r="B21" s="9" t="s">
        <v>62</v>
      </c>
      <c r="C21" s="10" t="s">
        <v>63</v>
      </c>
      <c r="D21" s="13" t="s">
        <v>67</v>
      </c>
      <c r="E21" s="70">
        <v>482846.58333333401</v>
      </c>
      <c r="F21" s="13" t="s">
        <v>64</v>
      </c>
      <c r="G21" s="630">
        <v>497472.75</v>
      </c>
      <c r="H21" s="186">
        <f t="shared" si="0"/>
        <v>14626.166666666</v>
      </c>
      <c r="I21" s="70">
        <v>42138.006666666697</v>
      </c>
      <c r="J21" s="70">
        <f t="shared" si="1"/>
        <v>39797.82</v>
      </c>
      <c r="K21" s="70">
        <f t="shared" si="2"/>
        <v>-2340.1866666667001</v>
      </c>
      <c r="L21" s="70">
        <f t="shared" si="3"/>
        <v>477573.84</v>
      </c>
      <c r="M21" s="13" t="s">
        <v>64</v>
      </c>
      <c r="N21" s="853">
        <v>311673.25</v>
      </c>
      <c r="O21" s="853">
        <f>N21*0.025</f>
        <v>7791.8312500000002</v>
      </c>
      <c r="P21" s="70">
        <v>7777.3604166666701</v>
      </c>
      <c r="Q21" s="853">
        <f t="shared" si="4"/>
        <v>14.4708333333301</v>
      </c>
      <c r="R21" s="853">
        <f t="shared" si="5"/>
        <v>93501.975000000006</v>
      </c>
    </row>
    <row r="22" spans="1:18" ht="18.75" customHeight="1">
      <c r="A22" s="8">
        <v>16</v>
      </c>
      <c r="B22" s="9" t="s">
        <v>65</v>
      </c>
      <c r="C22" s="2" t="s">
        <v>66</v>
      </c>
      <c r="D22" s="13" t="s">
        <v>67</v>
      </c>
      <c r="E22" s="70">
        <v>482846.58333333302</v>
      </c>
      <c r="F22" s="13" t="s">
        <v>67</v>
      </c>
      <c r="G22" s="70">
        <v>482846.58333333302</v>
      </c>
      <c r="H22" s="186">
        <f t="shared" si="0"/>
        <v>0</v>
      </c>
      <c r="I22" s="70">
        <v>42138.006666666697</v>
      </c>
      <c r="J22" s="70">
        <f t="shared" si="1"/>
        <v>38627.726666666596</v>
      </c>
      <c r="K22" s="70">
        <f t="shared" si="2"/>
        <v>-3510.2800000000602</v>
      </c>
      <c r="L22" s="70">
        <f t="shared" si="3"/>
        <v>463532.72</v>
      </c>
      <c r="M22" s="13" t="s">
        <v>67</v>
      </c>
      <c r="N22" s="853">
        <v>302987.41666666698</v>
      </c>
      <c r="O22" s="853">
        <f>N22*0.025</f>
        <v>7574.6854166666699</v>
      </c>
      <c r="P22" s="70">
        <v>7571.9666666666699</v>
      </c>
      <c r="Q22" s="853">
        <f t="shared" si="4"/>
        <v>2.7187500000045501</v>
      </c>
      <c r="R22" s="853">
        <f t="shared" si="5"/>
        <v>90896.225000000093</v>
      </c>
    </row>
    <row r="23" spans="1:18" ht="20.100000000000001" customHeight="1">
      <c r="A23" s="8">
        <v>17</v>
      </c>
      <c r="B23" s="12" t="s">
        <v>68</v>
      </c>
      <c r="C23" s="15" t="s">
        <v>69</v>
      </c>
      <c r="D23" s="8" t="s">
        <v>131</v>
      </c>
      <c r="E23" s="70">
        <v>454993.58333333302</v>
      </c>
      <c r="F23" s="8" t="s">
        <v>70</v>
      </c>
      <c r="G23" s="70">
        <v>468828.16666666698</v>
      </c>
      <c r="H23" s="186">
        <f t="shared" si="0"/>
        <v>13834.583333334</v>
      </c>
      <c r="I23" s="70">
        <v>36399.486666666598</v>
      </c>
      <c r="J23" s="70">
        <f t="shared" si="1"/>
        <v>37506.253333333399</v>
      </c>
      <c r="K23" s="70">
        <f t="shared" si="2"/>
        <v>1106.7666666667601</v>
      </c>
      <c r="L23" s="70">
        <f t="shared" si="3"/>
        <v>450075.04</v>
      </c>
      <c r="M23" s="8" t="s">
        <v>70</v>
      </c>
      <c r="N23" s="853">
        <v>294662.91666666698</v>
      </c>
      <c r="O23" s="853"/>
      <c r="P23" s="70"/>
      <c r="Q23" s="853">
        <f t="shared" si="4"/>
        <v>0</v>
      </c>
      <c r="R23" s="853">
        <f t="shared" si="5"/>
        <v>0</v>
      </c>
    </row>
    <row r="24" spans="1:18" ht="21.6" customHeight="1">
      <c r="A24" s="8">
        <v>18</v>
      </c>
      <c r="B24" s="9" t="s">
        <v>71</v>
      </c>
      <c r="C24" s="15" t="s">
        <v>72</v>
      </c>
      <c r="D24" s="13" t="s">
        <v>131</v>
      </c>
      <c r="E24" s="70">
        <v>454993.58333333302</v>
      </c>
      <c r="F24" s="13" t="s">
        <v>70</v>
      </c>
      <c r="G24" s="70">
        <v>468828.16666666698</v>
      </c>
      <c r="H24" s="186">
        <f t="shared" si="0"/>
        <v>13834.583333334</v>
      </c>
      <c r="I24" s="70">
        <v>36399.486666666598</v>
      </c>
      <c r="J24" s="70">
        <f t="shared" si="1"/>
        <v>37506.253333333399</v>
      </c>
      <c r="K24" s="70">
        <f t="shared" si="2"/>
        <v>1106.7666666667601</v>
      </c>
      <c r="L24" s="70">
        <f t="shared" si="3"/>
        <v>450075.04</v>
      </c>
      <c r="M24" s="13" t="s">
        <v>70</v>
      </c>
      <c r="N24" s="853">
        <v>294662.91666666698</v>
      </c>
      <c r="O24" s="853">
        <f>N24*0.025</f>
        <v>7366.5729166666797</v>
      </c>
      <c r="P24" s="70">
        <v>7161.1770833333303</v>
      </c>
      <c r="Q24" s="853">
        <f t="shared" si="4"/>
        <v>205.395833333345</v>
      </c>
      <c r="R24" s="853">
        <f t="shared" si="5"/>
        <v>88398.875000000102</v>
      </c>
    </row>
    <row r="25" spans="1:18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70">
        <v>381140.66666666599</v>
      </c>
      <c r="F25" s="8" t="s">
        <v>75</v>
      </c>
      <c r="G25" s="70">
        <v>381140.66666666599</v>
      </c>
      <c r="H25" s="186">
        <f t="shared" si="0"/>
        <v>0</v>
      </c>
      <c r="I25" s="70">
        <v>30491.253333333301</v>
      </c>
      <c r="J25" s="70">
        <f t="shared" si="1"/>
        <v>30491.253333333301</v>
      </c>
      <c r="K25" s="70">
        <f t="shared" si="2"/>
        <v>0</v>
      </c>
      <c r="L25" s="70">
        <f t="shared" si="3"/>
        <v>365895.03999999899</v>
      </c>
      <c r="M25" s="8" t="s">
        <v>75</v>
      </c>
      <c r="N25" s="853">
        <v>240874.58333333299</v>
      </c>
      <c r="O25" s="853"/>
      <c r="P25" s="70"/>
      <c r="Q25" s="853">
        <f t="shared" si="4"/>
        <v>0</v>
      </c>
      <c r="R25" s="853">
        <f t="shared" si="5"/>
        <v>0</v>
      </c>
    </row>
    <row r="26" spans="1:18" ht="20.100000000000001" customHeight="1">
      <c r="A26" s="8">
        <v>20</v>
      </c>
      <c r="B26" s="12" t="s">
        <v>76</v>
      </c>
      <c r="C26" s="15" t="s">
        <v>77</v>
      </c>
      <c r="D26" s="8" t="s">
        <v>75</v>
      </c>
      <c r="E26" s="70">
        <v>381140.66666666599</v>
      </c>
      <c r="F26" s="8" t="s">
        <v>78</v>
      </c>
      <c r="G26" s="70">
        <v>390135.83333333401</v>
      </c>
      <c r="H26" s="186">
        <f t="shared" si="0"/>
        <v>8995.1666666680194</v>
      </c>
      <c r="I26" s="70">
        <v>30491.253333333301</v>
      </c>
      <c r="J26" s="70">
        <f t="shared" si="1"/>
        <v>31210.866666666701</v>
      </c>
      <c r="K26" s="70">
        <f t="shared" si="2"/>
        <v>719.61333333342202</v>
      </c>
      <c r="L26" s="70">
        <f t="shared" si="3"/>
        <v>374530.40000000101</v>
      </c>
      <c r="M26" s="8" t="s">
        <v>78</v>
      </c>
      <c r="N26" s="853">
        <v>246171.16666666701</v>
      </c>
      <c r="O26" s="853">
        <f>N26*0.025</f>
        <v>6154.2791666666799</v>
      </c>
      <c r="P26" s="860">
        <v>6021.8645833333203</v>
      </c>
      <c r="Q26" s="853">
        <f t="shared" si="4"/>
        <v>132.41458333335501</v>
      </c>
      <c r="R26" s="853">
        <f t="shared" si="5"/>
        <v>73851.350000000093</v>
      </c>
    </row>
    <row r="27" spans="1:18" ht="18.75" customHeight="1">
      <c r="A27" s="8">
        <v>21</v>
      </c>
      <c r="B27" s="2" t="s">
        <v>483</v>
      </c>
      <c r="C27" s="2" t="s">
        <v>94</v>
      </c>
      <c r="D27" s="8" t="s">
        <v>154</v>
      </c>
      <c r="E27" s="70"/>
      <c r="F27" s="8"/>
      <c r="G27" s="70"/>
      <c r="H27" s="186">
        <f t="shared" si="0"/>
        <v>0</v>
      </c>
      <c r="I27" s="70"/>
      <c r="J27" s="70">
        <f t="shared" si="1"/>
        <v>0</v>
      </c>
      <c r="K27" s="70">
        <f t="shared" si="2"/>
        <v>0</v>
      </c>
      <c r="L27" s="70">
        <f t="shared" si="3"/>
        <v>0</v>
      </c>
      <c r="M27" s="8"/>
      <c r="N27" s="853"/>
      <c r="O27" s="853"/>
      <c r="P27" s="70"/>
      <c r="Q27" s="853">
        <f t="shared" si="4"/>
        <v>0</v>
      </c>
      <c r="R27" s="853">
        <f t="shared" si="5"/>
        <v>0</v>
      </c>
    </row>
    <row r="28" spans="1:18" ht="18.75" customHeight="1">
      <c r="A28" s="8">
        <v>22</v>
      </c>
      <c r="B28" s="16" t="s">
        <v>79</v>
      </c>
      <c r="C28" s="10" t="s">
        <v>80</v>
      </c>
      <c r="D28" s="13" t="s">
        <v>81</v>
      </c>
      <c r="E28" s="70">
        <v>372145.33333333302</v>
      </c>
      <c r="F28" s="13" t="s">
        <v>81</v>
      </c>
      <c r="G28" s="70">
        <v>372145.33333333302</v>
      </c>
      <c r="H28" s="186">
        <f t="shared" si="0"/>
        <v>0</v>
      </c>
      <c r="I28" s="70">
        <v>30491.253333333301</v>
      </c>
      <c r="J28" s="70">
        <f t="shared" si="1"/>
        <v>29771.626666666602</v>
      </c>
      <c r="K28" s="70">
        <f t="shared" si="2"/>
        <v>-719.62666666665996</v>
      </c>
      <c r="L28" s="70">
        <f t="shared" si="3"/>
        <v>357259.52000000002</v>
      </c>
      <c r="M28" s="13" t="s">
        <v>81</v>
      </c>
      <c r="N28" s="853">
        <f>'[2] FGN 2024 MGT Monthly'!$H$39</f>
        <v>235577.83333333299</v>
      </c>
      <c r="O28" s="853">
        <f>N28*0.025</f>
        <v>5889.4458333333296</v>
      </c>
      <c r="P28" s="70">
        <v>5690.3937500000002</v>
      </c>
      <c r="Q28" s="853">
        <f t="shared" si="4"/>
        <v>199.052083333334</v>
      </c>
      <c r="R28" s="853">
        <f t="shared" si="5"/>
        <v>70673.350000000006</v>
      </c>
    </row>
    <row r="29" spans="1:18" ht="20.100000000000001" customHeight="1">
      <c r="A29" s="8">
        <v>23</v>
      </c>
      <c r="B29" s="9" t="s">
        <v>82</v>
      </c>
      <c r="C29" s="2" t="s">
        <v>83</v>
      </c>
      <c r="D29" s="13" t="s">
        <v>81</v>
      </c>
      <c r="E29" s="70">
        <v>372145.33333333302</v>
      </c>
      <c r="F29" s="13" t="s">
        <v>75</v>
      </c>
      <c r="G29" s="70">
        <v>381140.66666666599</v>
      </c>
      <c r="H29" s="186">
        <f t="shared" si="0"/>
        <v>8995.3333333329592</v>
      </c>
      <c r="I29" s="70">
        <v>30491.253333333301</v>
      </c>
      <c r="J29" s="70">
        <f t="shared" si="1"/>
        <v>30491.253333333301</v>
      </c>
      <c r="K29" s="70">
        <f t="shared" si="2"/>
        <v>0</v>
      </c>
      <c r="L29" s="70">
        <f t="shared" si="3"/>
        <v>365895.03999999899</v>
      </c>
      <c r="M29" s="13" t="s">
        <v>75</v>
      </c>
      <c r="N29" s="853">
        <v>240874.58333333299</v>
      </c>
      <c r="O29" s="853">
        <f>N29*0.025</f>
        <v>6021.8645833333203</v>
      </c>
      <c r="P29" s="70">
        <v>6260.74</v>
      </c>
      <c r="Q29" s="853">
        <f t="shared" si="4"/>
        <v>-238.87541666667499</v>
      </c>
      <c r="R29" s="853">
        <f t="shared" si="5"/>
        <v>72262.374999999898</v>
      </c>
    </row>
    <row r="30" spans="1:18" ht="18.75" customHeight="1">
      <c r="A30" s="8">
        <v>24</v>
      </c>
      <c r="B30" s="16" t="s">
        <v>84</v>
      </c>
      <c r="C30" s="10" t="s">
        <v>85</v>
      </c>
      <c r="D30" s="13" t="s">
        <v>86</v>
      </c>
      <c r="E30" s="70">
        <v>347016.16666666599</v>
      </c>
      <c r="F30" s="13" t="s">
        <v>154</v>
      </c>
      <c r="G30" s="70">
        <f>'[2]Peculiar Allowance'!$K$38+'[2] FGN 2024 MGT Monthly'!$K$38</f>
        <v>355320.66666666698</v>
      </c>
      <c r="H30" s="186">
        <f t="shared" si="0"/>
        <v>8304.5000000007003</v>
      </c>
      <c r="I30" s="70">
        <v>27761.293333333299</v>
      </c>
      <c r="J30" s="70">
        <f t="shared" si="1"/>
        <v>28425.653333333299</v>
      </c>
      <c r="K30" s="70">
        <f t="shared" si="2"/>
        <v>664.36000000003696</v>
      </c>
      <c r="L30" s="70">
        <f t="shared" si="3"/>
        <v>341107.84</v>
      </c>
      <c r="M30" s="13" t="s">
        <v>154</v>
      </c>
      <c r="N30" s="853">
        <v>227615.75</v>
      </c>
      <c r="O30" s="853"/>
      <c r="P30" s="70"/>
      <c r="Q30" s="853">
        <f t="shared" si="4"/>
        <v>0</v>
      </c>
      <c r="R30" s="853">
        <f t="shared" si="5"/>
        <v>0</v>
      </c>
    </row>
    <row r="31" spans="1:18" ht="18.75" customHeight="1">
      <c r="A31" s="8">
        <v>25</v>
      </c>
      <c r="B31" s="16" t="s">
        <v>87</v>
      </c>
      <c r="C31" s="2" t="s">
        <v>88</v>
      </c>
      <c r="D31" s="8" t="s">
        <v>99</v>
      </c>
      <c r="E31" s="70">
        <v>338711.66666666698</v>
      </c>
      <c r="F31" s="8" t="s">
        <v>86</v>
      </c>
      <c r="G31" s="70">
        <v>347016.16666666599</v>
      </c>
      <c r="H31" s="186">
        <f t="shared" si="0"/>
        <v>8304.4999999990105</v>
      </c>
      <c r="I31" s="70">
        <v>27096.9333333334</v>
      </c>
      <c r="J31" s="70">
        <f t="shared" si="1"/>
        <v>27761.293333333299</v>
      </c>
      <c r="K31" s="70">
        <f t="shared" si="2"/>
        <v>664.35999999988098</v>
      </c>
      <c r="L31" s="70">
        <f t="shared" si="3"/>
        <v>333135.51999999903</v>
      </c>
      <c r="M31" s="8" t="s">
        <v>86</v>
      </c>
      <c r="N31" s="853">
        <v>222674.58333333299</v>
      </c>
      <c r="O31" s="853"/>
      <c r="P31" s="70"/>
      <c r="Q31" s="853">
        <f t="shared" si="4"/>
        <v>0</v>
      </c>
      <c r="R31" s="853">
        <f t="shared" si="5"/>
        <v>0</v>
      </c>
    </row>
    <row r="32" spans="1:18" ht="18.75" customHeight="1">
      <c r="A32" s="8">
        <v>26</v>
      </c>
      <c r="B32" s="16" t="s">
        <v>89</v>
      </c>
      <c r="C32" s="2" t="s">
        <v>90</v>
      </c>
      <c r="D32" s="13" t="s">
        <v>81</v>
      </c>
      <c r="E32" s="70">
        <v>372145.33333333302</v>
      </c>
      <c r="F32" s="13" t="s">
        <v>81</v>
      </c>
      <c r="G32" s="70">
        <v>372145.33333333302</v>
      </c>
      <c r="H32" s="186">
        <f t="shared" si="0"/>
        <v>0</v>
      </c>
      <c r="I32" s="70">
        <v>29771.6266666667</v>
      </c>
      <c r="J32" s="70">
        <f t="shared" si="1"/>
        <v>29771.626666666602</v>
      </c>
      <c r="K32" s="70">
        <f t="shared" si="2"/>
        <v>-5.8207660913467401E-11</v>
      </c>
      <c r="L32" s="70">
        <f t="shared" si="3"/>
        <v>357259.52000000002</v>
      </c>
      <c r="M32" s="13" t="s">
        <v>81</v>
      </c>
      <c r="N32" s="853">
        <f>'[2] FGN 2024 MGT Monthly'!$H$39</f>
        <v>235577.83333333299</v>
      </c>
      <c r="O32" s="853">
        <f>N32*0.025</f>
        <v>5889.4458333333296</v>
      </c>
      <c r="P32" s="860">
        <v>6260.7439999999997</v>
      </c>
      <c r="Q32" s="853">
        <f t="shared" si="4"/>
        <v>-371.29816666666602</v>
      </c>
      <c r="R32" s="853">
        <f t="shared" si="5"/>
        <v>70673.350000000006</v>
      </c>
    </row>
    <row r="33" spans="1:18" ht="18.75" customHeight="1">
      <c r="A33" s="8">
        <v>27</v>
      </c>
      <c r="B33" s="16" t="s">
        <v>91</v>
      </c>
      <c r="C33" s="2" t="s">
        <v>92</v>
      </c>
      <c r="D33" s="13" t="s">
        <v>81</v>
      </c>
      <c r="E33" s="70">
        <v>372145.33333333302</v>
      </c>
      <c r="F33" s="13" t="s">
        <v>81</v>
      </c>
      <c r="G33" s="70">
        <v>372145.33333333302</v>
      </c>
      <c r="H33" s="186">
        <f t="shared" si="0"/>
        <v>0</v>
      </c>
      <c r="I33" s="186">
        <v>29771.6266666667</v>
      </c>
      <c r="J33" s="70">
        <f t="shared" si="1"/>
        <v>29771.626666666602</v>
      </c>
      <c r="K33" s="70">
        <f t="shared" si="2"/>
        <v>-5.8207660913467401E-11</v>
      </c>
      <c r="L33" s="70">
        <f t="shared" si="3"/>
        <v>357259.52000000002</v>
      </c>
      <c r="M33" s="13" t="s">
        <v>81</v>
      </c>
      <c r="N33" s="853">
        <f>'[2] FGN 2024 MGT Monthly'!$H$39</f>
        <v>235577.83333333299</v>
      </c>
      <c r="O33" s="853">
        <f>N33*0.025</f>
        <v>5889.4458333333296</v>
      </c>
      <c r="P33" s="860">
        <v>6260.7439999999997</v>
      </c>
      <c r="Q33" s="853">
        <f t="shared" si="4"/>
        <v>-371.29816666666602</v>
      </c>
      <c r="R33" s="853">
        <f t="shared" si="5"/>
        <v>70673.350000000006</v>
      </c>
    </row>
    <row r="34" spans="1:18" ht="18.75" customHeight="1">
      <c r="A34" s="8">
        <v>28</v>
      </c>
      <c r="B34" s="16" t="s">
        <v>93</v>
      </c>
      <c r="C34" s="2" t="s">
        <v>94</v>
      </c>
      <c r="D34" s="8" t="s">
        <v>99</v>
      </c>
      <c r="E34" s="70">
        <v>338711.66666666698</v>
      </c>
      <c r="F34" s="8" t="s">
        <v>86</v>
      </c>
      <c r="G34" s="70">
        <v>347016.16666666599</v>
      </c>
      <c r="H34" s="186">
        <f t="shared" si="0"/>
        <v>8304.4999999990105</v>
      </c>
      <c r="I34" s="70">
        <v>27096.9333333334</v>
      </c>
      <c r="J34" s="70">
        <f t="shared" si="1"/>
        <v>27761.293333333299</v>
      </c>
      <c r="K34" s="70">
        <f t="shared" si="2"/>
        <v>664.35999999988098</v>
      </c>
      <c r="L34" s="70">
        <f t="shared" si="3"/>
        <v>333135.51999999903</v>
      </c>
      <c r="M34" s="8" t="s">
        <v>86</v>
      </c>
      <c r="N34" s="853">
        <v>222674.58333333299</v>
      </c>
      <c r="O34" s="853"/>
      <c r="P34" s="70"/>
      <c r="Q34" s="853">
        <f t="shared" si="4"/>
        <v>0</v>
      </c>
      <c r="R34" s="853">
        <f t="shared" si="5"/>
        <v>0</v>
      </c>
    </row>
    <row r="35" spans="1:18" ht="18.75" customHeight="1">
      <c r="A35" s="8">
        <v>29</v>
      </c>
      <c r="B35" s="16" t="s">
        <v>95</v>
      </c>
      <c r="C35" s="2" t="s">
        <v>96</v>
      </c>
      <c r="D35" s="13" t="s">
        <v>81</v>
      </c>
      <c r="E35" s="70">
        <v>372145.33333333302</v>
      </c>
      <c r="F35" s="13" t="s">
        <v>81</v>
      </c>
      <c r="G35" s="70">
        <v>372145.33333333302</v>
      </c>
      <c r="H35" s="186">
        <f t="shared" si="0"/>
        <v>0</v>
      </c>
      <c r="I35" s="70">
        <v>29771.6266666667</v>
      </c>
      <c r="J35" s="70">
        <f t="shared" si="1"/>
        <v>29771.626666666602</v>
      </c>
      <c r="K35" s="70">
        <f t="shared" si="2"/>
        <v>-5.8207660913467401E-11</v>
      </c>
      <c r="L35" s="70">
        <f t="shared" si="3"/>
        <v>357259.52000000002</v>
      </c>
      <c r="M35" s="13" t="s">
        <v>81</v>
      </c>
      <c r="N35" s="853">
        <f>'[2] FGN 2024 MGT Monthly'!$H$39</f>
        <v>235577.83333333299</v>
      </c>
      <c r="O35" s="853"/>
      <c r="P35" s="70"/>
      <c r="Q35" s="853">
        <f t="shared" si="4"/>
        <v>0</v>
      </c>
      <c r="R35" s="853">
        <f t="shared" si="5"/>
        <v>0</v>
      </c>
    </row>
    <row r="36" spans="1:18" ht="18.75" customHeight="1">
      <c r="A36" s="8">
        <v>30</v>
      </c>
      <c r="B36" s="16" t="s">
        <v>97</v>
      </c>
      <c r="C36" s="2" t="s">
        <v>98</v>
      </c>
      <c r="D36" s="8" t="s">
        <v>225</v>
      </c>
      <c r="E36" s="70">
        <v>330407.08333333302</v>
      </c>
      <c r="F36" s="8" t="s">
        <v>99</v>
      </c>
      <c r="G36" s="70">
        <v>338711.66666666698</v>
      </c>
      <c r="H36" s="186">
        <f t="shared" si="0"/>
        <v>8304.5833333339506</v>
      </c>
      <c r="I36" s="70">
        <v>29771.6266666667</v>
      </c>
      <c r="J36" s="70">
        <f t="shared" si="1"/>
        <v>27096.9333333334</v>
      </c>
      <c r="K36" s="70">
        <f t="shared" si="2"/>
        <v>-2674.69333333334</v>
      </c>
      <c r="L36" s="70">
        <f t="shared" si="3"/>
        <v>325163.2</v>
      </c>
      <c r="M36" s="8" t="s">
        <v>99</v>
      </c>
      <c r="N36" s="853">
        <v>217733.41666666701</v>
      </c>
      <c r="O36" s="853">
        <f>N36*0.025</f>
        <v>5443.3354166666804</v>
      </c>
      <c r="P36" s="70">
        <v>5319.8</v>
      </c>
      <c r="Q36" s="853">
        <f t="shared" si="4"/>
        <v>123.535416666676</v>
      </c>
      <c r="R36" s="853">
        <f t="shared" si="5"/>
        <v>65320.025000000103</v>
      </c>
    </row>
    <row r="37" spans="1:18" ht="18.75" customHeight="1">
      <c r="A37" s="8">
        <v>31</v>
      </c>
      <c r="B37" s="16" t="s">
        <v>100</v>
      </c>
      <c r="C37" s="2" t="s">
        <v>98</v>
      </c>
      <c r="D37" s="8" t="s">
        <v>225</v>
      </c>
      <c r="E37" s="70">
        <v>330408.08333333302</v>
      </c>
      <c r="F37" s="8" t="s">
        <v>99</v>
      </c>
      <c r="G37" s="70">
        <v>338711.66666666698</v>
      </c>
      <c r="H37" s="186">
        <f t="shared" si="0"/>
        <v>8303.5833333339506</v>
      </c>
      <c r="I37" s="70">
        <v>26432.6466666667</v>
      </c>
      <c r="J37" s="70">
        <f t="shared" si="1"/>
        <v>27096.9333333334</v>
      </c>
      <c r="K37" s="70">
        <f t="shared" si="2"/>
        <v>664.28666666666004</v>
      </c>
      <c r="L37" s="70">
        <f t="shared" si="3"/>
        <v>325163.2</v>
      </c>
      <c r="M37" s="8" t="s">
        <v>99</v>
      </c>
      <c r="N37" s="853">
        <v>217733.41666666701</v>
      </c>
      <c r="O37" s="853">
        <f>N37*0.025</f>
        <v>5443.3354166666804</v>
      </c>
      <c r="P37" s="70">
        <v>5319.8</v>
      </c>
      <c r="Q37" s="853">
        <f t="shared" si="4"/>
        <v>123.535416666676</v>
      </c>
      <c r="R37" s="853">
        <f t="shared" si="5"/>
        <v>65320.025000000103</v>
      </c>
    </row>
    <row r="38" spans="1:18" ht="18.75" customHeight="1">
      <c r="A38" s="8">
        <v>32</v>
      </c>
      <c r="B38" s="16" t="s">
        <v>101</v>
      </c>
      <c r="C38" s="2" t="s">
        <v>85</v>
      </c>
      <c r="D38" s="8" t="s">
        <v>225</v>
      </c>
      <c r="E38" s="70">
        <v>330409.08333333302</v>
      </c>
      <c r="F38" s="8" t="s">
        <v>99</v>
      </c>
      <c r="G38" s="70">
        <v>338711.66666666698</v>
      </c>
      <c r="H38" s="186">
        <f t="shared" si="0"/>
        <v>8302.5833333339506</v>
      </c>
      <c r="I38" s="70">
        <v>26432.726666666698</v>
      </c>
      <c r="J38" s="70">
        <f t="shared" si="1"/>
        <v>27096.9333333334</v>
      </c>
      <c r="K38" s="70">
        <f t="shared" si="2"/>
        <v>664.20666666666102</v>
      </c>
      <c r="L38" s="70">
        <f t="shared" si="3"/>
        <v>325163.2</v>
      </c>
      <c r="M38" s="8" t="s">
        <v>99</v>
      </c>
      <c r="N38" s="853">
        <v>217733.41666666701</v>
      </c>
      <c r="O38" s="853"/>
      <c r="P38" s="70"/>
      <c r="Q38" s="853">
        <f t="shared" si="4"/>
        <v>0</v>
      </c>
      <c r="R38" s="853">
        <f t="shared" si="5"/>
        <v>0</v>
      </c>
    </row>
    <row r="39" spans="1:18" ht="18.75" customHeight="1">
      <c r="A39" s="8">
        <v>33</v>
      </c>
      <c r="B39" s="16" t="s">
        <v>102</v>
      </c>
      <c r="C39" s="2" t="s">
        <v>94</v>
      </c>
      <c r="D39" s="8" t="s">
        <v>225</v>
      </c>
      <c r="E39" s="70">
        <v>330409.08333333302</v>
      </c>
      <c r="F39" s="8" t="s">
        <v>99</v>
      </c>
      <c r="G39" s="70">
        <v>338711.66666666698</v>
      </c>
      <c r="H39" s="186">
        <f t="shared" si="0"/>
        <v>8302.5833333339506</v>
      </c>
      <c r="I39" s="70">
        <v>26432.726666666698</v>
      </c>
      <c r="J39" s="70">
        <f t="shared" si="1"/>
        <v>27096.9333333334</v>
      </c>
      <c r="K39" s="70">
        <f t="shared" si="2"/>
        <v>664.20666666666102</v>
      </c>
      <c r="L39" s="70">
        <f t="shared" si="3"/>
        <v>325163.2</v>
      </c>
      <c r="M39" s="8" t="s">
        <v>99</v>
      </c>
      <c r="N39" s="853">
        <v>217733.41666666701</v>
      </c>
      <c r="O39" s="853">
        <f>N39*0.025</f>
        <v>5443.3354166666804</v>
      </c>
      <c r="P39" s="70">
        <v>5319.8</v>
      </c>
      <c r="Q39" s="853">
        <f t="shared" si="4"/>
        <v>123.535416666676</v>
      </c>
      <c r="R39" s="853">
        <f t="shared" si="5"/>
        <v>65320.025000000103</v>
      </c>
    </row>
    <row r="40" spans="1:18" ht="18.75" customHeight="1">
      <c r="A40" s="8">
        <v>34</v>
      </c>
      <c r="B40" s="16" t="s">
        <v>103</v>
      </c>
      <c r="C40" s="10" t="s">
        <v>104</v>
      </c>
      <c r="D40" s="13" t="s">
        <v>108</v>
      </c>
      <c r="E40" s="70">
        <v>301910.75</v>
      </c>
      <c r="F40" s="13" t="s">
        <v>105</v>
      </c>
      <c r="G40" s="70">
        <v>308920.66666666698</v>
      </c>
      <c r="H40" s="186">
        <f t="shared" si="0"/>
        <v>7009.9166666669798</v>
      </c>
      <c r="I40" s="70">
        <v>24152.86</v>
      </c>
      <c r="J40" s="70">
        <f t="shared" si="1"/>
        <v>24713.653333333401</v>
      </c>
      <c r="K40" s="70">
        <f t="shared" si="2"/>
        <v>560.79333333335705</v>
      </c>
      <c r="L40" s="70">
        <f t="shared" si="3"/>
        <v>296563.84000000003</v>
      </c>
      <c r="M40" s="13" t="s">
        <v>105</v>
      </c>
      <c r="N40" s="853">
        <v>200549.41666666701</v>
      </c>
      <c r="O40" s="853">
        <f>N40*0.025</f>
        <v>5013.7354166666801</v>
      </c>
      <c r="P40" s="860">
        <v>4909.1104166666801</v>
      </c>
      <c r="Q40" s="853">
        <f t="shared" si="4"/>
        <v>104.624999999995</v>
      </c>
      <c r="R40" s="853">
        <f t="shared" si="5"/>
        <v>60164.825000000099</v>
      </c>
    </row>
    <row r="41" spans="1:18" ht="18.75" customHeight="1">
      <c r="A41" s="8">
        <v>35</v>
      </c>
      <c r="B41" s="16" t="s">
        <v>106</v>
      </c>
      <c r="C41" s="10" t="s">
        <v>107</v>
      </c>
      <c r="D41" s="13" t="s">
        <v>111</v>
      </c>
      <c r="E41" s="630">
        <v>294900.83333333401</v>
      </c>
      <c r="F41" s="13" t="s">
        <v>108</v>
      </c>
      <c r="G41" s="70">
        <v>301910.75</v>
      </c>
      <c r="H41" s="186">
        <f t="shared" si="0"/>
        <v>7009.9166666659903</v>
      </c>
      <c r="I41" s="639">
        <v>23592.066666666698</v>
      </c>
      <c r="J41" s="70">
        <f t="shared" si="1"/>
        <v>24152.86</v>
      </c>
      <c r="K41" s="70">
        <f t="shared" si="2"/>
        <v>560.79333333330203</v>
      </c>
      <c r="L41" s="70">
        <f t="shared" si="3"/>
        <v>289834.32</v>
      </c>
      <c r="M41" s="13" t="s">
        <v>108</v>
      </c>
      <c r="N41" s="853">
        <v>196364.41666666701</v>
      </c>
      <c r="O41" s="853">
        <f>N41*0.025</f>
        <v>4909.1104166666801</v>
      </c>
      <c r="P41" s="860">
        <v>4804.4854166666801</v>
      </c>
      <c r="Q41" s="853">
        <f t="shared" si="4"/>
        <v>104.624999999995</v>
      </c>
      <c r="R41" s="853">
        <f t="shared" si="5"/>
        <v>58909.325000000099</v>
      </c>
    </row>
    <row r="42" spans="1:18" ht="20.100000000000001" customHeight="1">
      <c r="A42" s="8">
        <v>36</v>
      </c>
      <c r="B42" s="16" t="s">
        <v>109</v>
      </c>
      <c r="C42" s="10" t="s">
        <v>110</v>
      </c>
      <c r="D42" s="13" t="s">
        <v>277</v>
      </c>
      <c r="E42" s="70">
        <v>287890.91666666698</v>
      </c>
      <c r="F42" s="13" t="s">
        <v>111</v>
      </c>
      <c r="G42" s="630">
        <v>294900.83333333401</v>
      </c>
      <c r="H42" s="186">
        <f t="shared" si="0"/>
        <v>7009.9166666670399</v>
      </c>
      <c r="I42" s="638">
        <v>23031.273333333302</v>
      </c>
      <c r="J42" s="70">
        <f t="shared" si="1"/>
        <v>23592.066666666698</v>
      </c>
      <c r="K42" s="70">
        <f t="shared" si="2"/>
        <v>560.79333333341901</v>
      </c>
      <c r="L42" s="70">
        <f t="shared" si="3"/>
        <v>283104.80000000098</v>
      </c>
      <c r="M42" s="13" t="s">
        <v>111</v>
      </c>
      <c r="N42" s="853">
        <v>192179.41666666701</v>
      </c>
      <c r="O42" s="853">
        <f>N42*0.025</f>
        <v>4804.4854166666801</v>
      </c>
      <c r="P42" s="780">
        <f>4699.86</f>
        <v>4699.8599999999997</v>
      </c>
      <c r="Q42" s="853">
        <f t="shared" si="4"/>
        <v>104.625416666676</v>
      </c>
      <c r="R42" s="853">
        <f t="shared" si="5"/>
        <v>57653.825000000099</v>
      </c>
    </row>
    <row r="43" spans="1:18" ht="20.100000000000001" customHeight="1">
      <c r="A43" s="8">
        <v>37</v>
      </c>
      <c r="B43" s="16" t="s">
        <v>112</v>
      </c>
      <c r="C43" s="10" t="s">
        <v>113</v>
      </c>
      <c r="D43" s="13" t="s">
        <v>277</v>
      </c>
      <c r="E43" s="70">
        <v>287890.91666666698</v>
      </c>
      <c r="F43" s="13" t="s">
        <v>111</v>
      </c>
      <c r="G43" s="630">
        <v>294900.83333333401</v>
      </c>
      <c r="H43" s="186">
        <f t="shared" si="0"/>
        <v>7009.9166666670399</v>
      </c>
      <c r="I43" s="227">
        <v>23031.273333333302</v>
      </c>
      <c r="J43" s="70">
        <f t="shared" si="1"/>
        <v>23592.066666666698</v>
      </c>
      <c r="K43" s="70">
        <f t="shared" si="2"/>
        <v>560.79333333341901</v>
      </c>
      <c r="L43" s="70">
        <f t="shared" si="3"/>
        <v>283104.80000000098</v>
      </c>
      <c r="M43" s="13" t="s">
        <v>111</v>
      </c>
      <c r="N43" s="853">
        <v>192179.41666666701</v>
      </c>
      <c r="O43" s="853"/>
      <c r="P43" s="780"/>
      <c r="Q43" s="853">
        <f t="shared" si="4"/>
        <v>0</v>
      </c>
      <c r="R43" s="853">
        <f t="shared" si="5"/>
        <v>0</v>
      </c>
    </row>
    <row r="44" spans="1:18" ht="20.100000000000001" customHeight="1">
      <c r="A44" s="8">
        <v>38</v>
      </c>
      <c r="B44" s="16" t="s">
        <v>114</v>
      </c>
      <c r="C44" s="10" t="s">
        <v>113</v>
      </c>
      <c r="D44" s="13" t="s">
        <v>277</v>
      </c>
      <c r="E44" s="70">
        <v>287890.91666666698</v>
      </c>
      <c r="F44" s="13" t="s">
        <v>111</v>
      </c>
      <c r="G44" s="630">
        <v>294900.83333333401</v>
      </c>
      <c r="H44" s="186">
        <f t="shared" si="0"/>
        <v>7009.9166666670399</v>
      </c>
      <c r="I44" s="227">
        <v>23031.273333333302</v>
      </c>
      <c r="J44" s="70">
        <f t="shared" si="1"/>
        <v>23592.066666666698</v>
      </c>
      <c r="K44" s="70">
        <f t="shared" si="2"/>
        <v>560.79333333341901</v>
      </c>
      <c r="L44" s="70">
        <f t="shared" si="3"/>
        <v>283104.80000000098</v>
      </c>
      <c r="M44" s="13" t="s">
        <v>111</v>
      </c>
      <c r="N44" s="853">
        <v>192179.41666666701</v>
      </c>
      <c r="O44" s="853"/>
      <c r="P44" s="780"/>
      <c r="Q44" s="853">
        <f t="shared" si="4"/>
        <v>0</v>
      </c>
      <c r="R44" s="853">
        <f t="shared" si="5"/>
        <v>0</v>
      </c>
    </row>
    <row r="45" spans="1:18" ht="20.100000000000001" customHeight="1">
      <c r="A45" s="8">
        <v>39</v>
      </c>
      <c r="B45" s="16" t="s">
        <v>115</v>
      </c>
      <c r="C45" s="10" t="s">
        <v>116</v>
      </c>
      <c r="D45" s="13" t="s">
        <v>277</v>
      </c>
      <c r="E45" s="70">
        <v>287890.91666666698</v>
      </c>
      <c r="F45" s="13" t="s">
        <v>111</v>
      </c>
      <c r="G45" s="630">
        <v>294900.83333333401</v>
      </c>
      <c r="H45" s="186">
        <f t="shared" si="0"/>
        <v>7009.9166666670399</v>
      </c>
      <c r="I45" s="227">
        <v>23031.273333333302</v>
      </c>
      <c r="J45" s="70">
        <f t="shared" si="1"/>
        <v>23592.066666666698</v>
      </c>
      <c r="K45" s="70">
        <f t="shared" si="2"/>
        <v>560.79333333341901</v>
      </c>
      <c r="L45" s="70">
        <f t="shared" si="3"/>
        <v>283104.80000000098</v>
      </c>
      <c r="M45" s="13" t="s">
        <v>111</v>
      </c>
      <c r="N45" s="853">
        <v>192179.41666666701</v>
      </c>
      <c r="O45" s="853"/>
      <c r="P45" s="780"/>
      <c r="Q45" s="853">
        <f t="shared" si="4"/>
        <v>0</v>
      </c>
      <c r="R45" s="853">
        <f t="shared" si="5"/>
        <v>0</v>
      </c>
    </row>
    <row r="46" spans="1:18" ht="20.100000000000001" customHeight="1">
      <c r="A46" s="8">
        <v>40</v>
      </c>
      <c r="B46" s="16" t="s">
        <v>117</v>
      </c>
      <c r="C46" s="10" t="s">
        <v>113</v>
      </c>
      <c r="D46" s="13" t="s">
        <v>277</v>
      </c>
      <c r="E46" s="70">
        <v>287890.91666666698</v>
      </c>
      <c r="F46" s="13" t="s">
        <v>111</v>
      </c>
      <c r="G46" s="630">
        <v>294900.83333333401</v>
      </c>
      <c r="H46" s="186">
        <f t="shared" si="0"/>
        <v>7009.9166666670399</v>
      </c>
      <c r="I46" s="227">
        <v>23031.273333333302</v>
      </c>
      <c r="J46" s="70">
        <f t="shared" si="1"/>
        <v>23592.066666666698</v>
      </c>
      <c r="K46" s="70">
        <f t="shared" si="2"/>
        <v>560.79333333341901</v>
      </c>
      <c r="L46" s="70">
        <f t="shared" si="3"/>
        <v>283104.80000000098</v>
      </c>
      <c r="M46" s="13" t="s">
        <v>111</v>
      </c>
      <c r="N46" s="853">
        <v>192179.41666666701</v>
      </c>
      <c r="O46" s="853"/>
      <c r="P46" s="780"/>
      <c r="Q46" s="853">
        <f t="shared" si="4"/>
        <v>0</v>
      </c>
      <c r="R46" s="853">
        <f t="shared" si="5"/>
        <v>0</v>
      </c>
    </row>
    <row r="47" spans="1:18" ht="20.100000000000001" customHeight="1">
      <c r="A47" s="8">
        <v>41</v>
      </c>
      <c r="B47" s="16" t="s">
        <v>118</v>
      </c>
      <c r="C47" s="10" t="s">
        <v>119</v>
      </c>
      <c r="D47" s="13" t="s">
        <v>277</v>
      </c>
      <c r="E47" s="70">
        <v>287891.91666666698</v>
      </c>
      <c r="F47" s="13" t="s">
        <v>111</v>
      </c>
      <c r="G47" s="630">
        <v>294900.83333333401</v>
      </c>
      <c r="H47" s="186">
        <f t="shared" si="0"/>
        <v>7008.9166666670399</v>
      </c>
      <c r="I47" s="638">
        <v>23031.3533333333</v>
      </c>
      <c r="J47" s="70">
        <f t="shared" si="1"/>
        <v>23592.066666666698</v>
      </c>
      <c r="K47" s="70">
        <f t="shared" si="2"/>
        <v>560.71333333342</v>
      </c>
      <c r="L47" s="70">
        <f t="shared" si="3"/>
        <v>283104.80000000098</v>
      </c>
      <c r="M47" s="13" t="s">
        <v>111</v>
      </c>
      <c r="N47" s="853">
        <v>192179.41666666701</v>
      </c>
      <c r="O47" s="853"/>
      <c r="P47" s="2"/>
      <c r="Q47" s="853">
        <f t="shared" si="4"/>
        <v>0</v>
      </c>
      <c r="R47" s="853">
        <f t="shared" si="5"/>
        <v>0</v>
      </c>
    </row>
    <row r="48" spans="1:18" ht="26.25" customHeight="1">
      <c r="A48" s="8"/>
      <c r="B48" s="18" t="s">
        <v>120</v>
      </c>
      <c r="C48" s="19">
        <v>41</v>
      </c>
      <c r="D48" s="13"/>
      <c r="E48" s="187">
        <f t="shared" ref="E48:K48" si="6">SUM(E7:E47)</f>
        <v>20203859.666666701</v>
      </c>
      <c r="F48" s="187"/>
      <c r="G48" s="187">
        <f t="shared" si="6"/>
        <v>20529917.5</v>
      </c>
      <c r="H48" s="187">
        <f t="shared" si="6"/>
        <v>326057.83333333803</v>
      </c>
      <c r="I48" s="187">
        <f t="shared" si="6"/>
        <v>1394628.64</v>
      </c>
      <c r="J48" s="187">
        <f t="shared" si="6"/>
        <v>1412277.8933333301</v>
      </c>
      <c r="K48" s="187">
        <f t="shared" si="6"/>
        <v>17649.2533333336</v>
      </c>
      <c r="L48" s="187">
        <f t="shared" ref="L48:R48" si="7">SUM(L7:L47)</f>
        <v>16947334.719999999</v>
      </c>
      <c r="M48" s="187">
        <f t="shared" si="7"/>
        <v>0</v>
      </c>
      <c r="N48" s="187">
        <f t="shared" si="7"/>
        <v>11102994.4166667</v>
      </c>
      <c r="O48" s="187">
        <f t="shared" si="7"/>
        <v>148222.56041666699</v>
      </c>
      <c r="P48" s="187">
        <f t="shared" si="7"/>
        <v>146189.99424999999</v>
      </c>
      <c r="Q48" s="187">
        <f t="shared" si="7"/>
        <v>2032.56616666675</v>
      </c>
      <c r="R48" s="187">
        <f t="shared" si="7"/>
        <v>1778670.7250000001</v>
      </c>
    </row>
    <row r="49" spans="1:18" ht="18.75" customHeight="1">
      <c r="A49" s="8"/>
      <c r="B49" s="20"/>
      <c r="C49" s="2"/>
      <c r="D49" s="13"/>
      <c r="E49" s="187"/>
      <c r="F49" s="187"/>
      <c r="G49" s="187"/>
      <c r="H49" s="186"/>
      <c r="I49" s="187"/>
      <c r="J49" s="187"/>
      <c r="K49" s="187"/>
      <c r="L49" s="70"/>
      <c r="M49" s="187"/>
      <c r="N49" s="187"/>
      <c r="O49" s="853"/>
      <c r="P49" s="187"/>
      <c r="Q49" s="853"/>
      <c r="R49" s="853"/>
    </row>
    <row r="50" spans="1:18" ht="18.75" customHeight="1">
      <c r="A50" s="8"/>
      <c r="B50" s="18" t="s">
        <v>121</v>
      </c>
      <c r="C50" s="2"/>
      <c r="D50" s="13"/>
      <c r="E50" s="70"/>
      <c r="F50" s="70"/>
      <c r="G50" s="70"/>
      <c r="H50" s="186"/>
      <c r="I50" s="70"/>
      <c r="J50" s="70"/>
      <c r="K50" s="70"/>
      <c r="L50" s="70"/>
      <c r="M50" s="70"/>
      <c r="N50" s="70"/>
      <c r="O50" s="853"/>
      <c r="P50" s="70"/>
      <c r="Q50" s="853"/>
      <c r="R50" s="853"/>
    </row>
    <row r="51" spans="1:18" ht="18.75" customHeight="1">
      <c r="A51" s="8">
        <v>1</v>
      </c>
      <c r="B51" s="16" t="s">
        <v>122</v>
      </c>
      <c r="C51" s="2" t="s">
        <v>123</v>
      </c>
      <c r="D51" s="8" t="s">
        <v>124</v>
      </c>
      <c r="E51" s="70">
        <v>1747106.41666666</v>
      </c>
      <c r="F51" s="8" t="s">
        <v>124</v>
      </c>
      <c r="G51" s="70">
        <v>1747106.41666666</v>
      </c>
      <c r="H51" s="186">
        <f>G51-E51</f>
        <v>0</v>
      </c>
      <c r="I51" s="70">
        <v>139768.51333333299</v>
      </c>
      <c r="J51" s="70">
        <f>G51*0.08</f>
        <v>139768.51333333299</v>
      </c>
      <c r="K51" s="70">
        <f>J51-I51</f>
        <v>0</v>
      </c>
      <c r="L51" s="70">
        <f t="shared" si="3"/>
        <v>1677222.1599999899</v>
      </c>
      <c r="M51" s="8" t="s">
        <v>124</v>
      </c>
      <c r="N51" s="853">
        <v>1086777.08333333</v>
      </c>
      <c r="O51" s="853"/>
      <c r="P51" s="70"/>
      <c r="Q51" s="853">
        <f t="shared" si="4"/>
        <v>0</v>
      </c>
      <c r="R51" s="853">
        <f t="shared" si="5"/>
        <v>0</v>
      </c>
    </row>
    <row r="52" spans="1:18" ht="20.100000000000001" customHeight="1">
      <c r="A52" s="8">
        <v>2</v>
      </c>
      <c r="B52" s="9" t="s">
        <v>125</v>
      </c>
      <c r="C52" s="10" t="s">
        <v>126</v>
      </c>
      <c r="D52" s="13" t="s">
        <v>42</v>
      </c>
      <c r="E52" s="70">
        <v>700713.91666666605</v>
      </c>
      <c r="F52" s="13" t="s">
        <v>50</v>
      </c>
      <c r="G52" s="70">
        <v>722595.5</v>
      </c>
      <c r="H52" s="186">
        <f t="shared" ref="H52:H57" si="8">G52-E52</f>
        <v>21881.583333334002</v>
      </c>
      <c r="I52" s="70">
        <v>56057.113333333298</v>
      </c>
      <c r="J52" s="70">
        <f t="shared" ref="J52:J57" si="9">G52*0.08</f>
        <v>57807.64</v>
      </c>
      <c r="K52" s="70">
        <f t="shared" ref="K52:K57" si="10">J52-I52</f>
        <v>1750.5266666667001</v>
      </c>
      <c r="L52" s="70">
        <f t="shared" si="3"/>
        <v>693691.68</v>
      </c>
      <c r="M52" s="13" t="s">
        <v>50</v>
      </c>
      <c r="N52" s="853">
        <v>445995.83333333302</v>
      </c>
      <c r="O52" s="853"/>
      <c r="P52" s="70"/>
      <c r="Q52" s="853">
        <f t="shared" si="4"/>
        <v>0</v>
      </c>
      <c r="R52" s="853">
        <f t="shared" si="5"/>
        <v>0</v>
      </c>
    </row>
    <row r="53" spans="1:18" ht="18.75" customHeight="1">
      <c r="A53" s="8">
        <v>3</v>
      </c>
      <c r="B53" s="16" t="s">
        <v>127</v>
      </c>
      <c r="C53" s="2" t="s">
        <v>128</v>
      </c>
      <c r="D53" s="8" t="s">
        <v>75</v>
      </c>
      <c r="E53" s="70">
        <v>381140.66666666599</v>
      </c>
      <c r="F53" s="8" t="s">
        <v>78</v>
      </c>
      <c r="G53" s="70">
        <v>390135.83333333401</v>
      </c>
      <c r="H53" s="186">
        <f t="shared" si="8"/>
        <v>8995.1666666680194</v>
      </c>
      <c r="I53" s="70">
        <v>30491.253333333301</v>
      </c>
      <c r="J53" s="70">
        <f t="shared" si="9"/>
        <v>31210.866666666701</v>
      </c>
      <c r="K53" s="70">
        <f t="shared" si="10"/>
        <v>719.61333333342202</v>
      </c>
      <c r="L53" s="70">
        <f t="shared" si="3"/>
        <v>374530.40000000101</v>
      </c>
      <c r="M53" s="8" t="s">
        <v>78</v>
      </c>
      <c r="N53" s="853">
        <v>246171.16666666701</v>
      </c>
      <c r="O53" s="853">
        <f>N53*0.025</f>
        <v>6154.2791666666799</v>
      </c>
      <c r="P53" s="70">
        <v>6021.8645833333203</v>
      </c>
      <c r="Q53" s="853">
        <f t="shared" si="4"/>
        <v>132.41458333335501</v>
      </c>
      <c r="R53" s="853">
        <f t="shared" si="5"/>
        <v>73851.350000000093</v>
      </c>
    </row>
    <row r="54" spans="1:18" ht="18.75" customHeight="1">
      <c r="A54" s="8">
        <v>4</v>
      </c>
      <c r="B54" s="9" t="s">
        <v>129</v>
      </c>
      <c r="C54" s="2" t="s">
        <v>130</v>
      </c>
      <c r="D54" s="13" t="s">
        <v>179</v>
      </c>
      <c r="E54" s="186">
        <v>441159</v>
      </c>
      <c r="F54" s="13" t="s">
        <v>131</v>
      </c>
      <c r="G54" s="70">
        <v>454993.58333333302</v>
      </c>
      <c r="H54" s="186">
        <f t="shared" si="8"/>
        <v>13834.583333332999</v>
      </c>
      <c r="I54" s="70">
        <v>35292.720000000001</v>
      </c>
      <c r="J54" s="70">
        <f t="shared" si="9"/>
        <v>36399.486666666598</v>
      </c>
      <c r="K54" s="70">
        <f t="shared" si="10"/>
        <v>1106.76666666664</v>
      </c>
      <c r="L54" s="70">
        <f t="shared" si="3"/>
        <v>436793.84</v>
      </c>
      <c r="M54" s="13" t="s">
        <v>131</v>
      </c>
      <c r="N54" s="853">
        <v>286447.08333333302</v>
      </c>
      <c r="O54" s="853"/>
      <c r="P54" s="70"/>
      <c r="Q54" s="853">
        <f t="shared" si="4"/>
        <v>0</v>
      </c>
      <c r="R54" s="853">
        <f t="shared" si="5"/>
        <v>0</v>
      </c>
    </row>
    <row r="55" spans="1:18" ht="20.100000000000001" customHeight="1">
      <c r="A55" s="8">
        <v>5</v>
      </c>
      <c r="B55" s="16" t="s">
        <v>132</v>
      </c>
      <c r="C55" s="2" t="s">
        <v>128</v>
      </c>
      <c r="D55" s="13" t="s">
        <v>225</v>
      </c>
      <c r="E55" s="70">
        <v>330407.08333333302</v>
      </c>
      <c r="F55" s="13" t="s">
        <v>99</v>
      </c>
      <c r="G55" s="70">
        <v>338711.66666666698</v>
      </c>
      <c r="H55" s="186">
        <f t="shared" si="8"/>
        <v>8304.5833333339506</v>
      </c>
      <c r="I55" s="639">
        <v>26432.566666666698</v>
      </c>
      <c r="J55" s="70">
        <f t="shared" si="9"/>
        <v>27096.9333333334</v>
      </c>
      <c r="K55" s="70">
        <f t="shared" si="10"/>
        <v>664.36666666666099</v>
      </c>
      <c r="L55" s="70">
        <f t="shared" si="3"/>
        <v>325163.2</v>
      </c>
      <c r="M55" s="13" t="s">
        <v>99</v>
      </c>
      <c r="N55" s="853">
        <v>217733.41666666701</v>
      </c>
      <c r="O55" s="853">
        <f>N55*0.025</f>
        <v>5443.3354166666804</v>
      </c>
      <c r="P55" s="2">
        <v>5319.8</v>
      </c>
      <c r="Q55" s="853">
        <f t="shared" si="4"/>
        <v>123.535416666676</v>
      </c>
      <c r="R55" s="853">
        <f t="shared" si="5"/>
        <v>65320.025000000103</v>
      </c>
    </row>
    <row r="56" spans="1:18" ht="18.75" customHeight="1">
      <c r="A56" s="8">
        <v>6</v>
      </c>
      <c r="B56" s="9" t="s">
        <v>133</v>
      </c>
      <c r="C56" s="2" t="s">
        <v>134</v>
      </c>
      <c r="D56" s="13" t="s">
        <v>99</v>
      </c>
      <c r="E56" s="630">
        <v>338711.66666666698</v>
      </c>
      <c r="F56" s="13" t="s">
        <v>86</v>
      </c>
      <c r="G56" s="70">
        <v>347016.16666666599</v>
      </c>
      <c r="H56" s="186">
        <f t="shared" si="8"/>
        <v>8304.4999999990105</v>
      </c>
      <c r="I56" s="639">
        <v>27096.9333333334</v>
      </c>
      <c r="J56" s="70">
        <f t="shared" si="9"/>
        <v>27761.293333333299</v>
      </c>
      <c r="K56" s="70">
        <f t="shared" si="10"/>
        <v>664.35999999988098</v>
      </c>
      <c r="L56" s="70">
        <f t="shared" si="3"/>
        <v>333135.51999999903</v>
      </c>
      <c r="M56" s="13" t="s">
        <v>86</v>
      </c>
      <c r="N56" s="853">
        <v>222674.58333333299</v>
      </c>
      <c r="O56" s="853">
        <f>N56*0.025</f>
        <v>5566.8645833333203</v>
      </c>
      <c r="P56" s="780">
        <v>5443.3354166666804</v>
      </c>
      <c r="Q56" s="853">
        <f t="shared" si="4"/>
        <v>123.529166666644</v>
      </c>
      <c r="R56" s="853">
        <f t="shared" si="5"/>
        <v>66802.374999999898</v>
      </c>
    </row>
    <row r="57" spans="1:18" ht="20.100000000000001" customHeight="1">
      <c r="A57" s="8">
        <v>7</v>
      </c>
      <c r="B57" s="16" t="s">
        <v>135</v>
      </c>
      <c r="C57" s="10" t="s">
        <v>136</v>
      </c>
      <c r="D57" s="13" t="s">
        <v>277</v>
      </c>
      <c r="E57" s="70">
        <v>287890.91666666698</v>
      </c>
      <c r="F57" s="13" t="s">
        <v>111</v>
      </c>
      <c r="G57" s="70">
        <v>294900.83333333401</v>
      </c>
      <c r="H57" s="186">
        <f t="shared" si="8"/>
        <v>7009.9166666670399</v>
      </c>
      <c r="I57" s="639">
        <v>23031.273333333302</v>
      </c>
      <c r="J57" s="70">
        <f t="shared" si="9"/>
        <v>23592.066666666698</v>
      </c>
      <c r="K57" s="70">
        <f t="shared" si="10"/>
        <v>560.79333333341901</v>
      </c>
      <c r="L57" s="70">
        <f t="shared" si="3"/>
        <v>283104.80000000098</v>
      </c>
      <c r="M57" s="13" t="s">
        <v>111</v>
      </c>
      <c r="N57" s="853">
        <v>192179.41666666701</v>
      </c>
      <c r="O57" s="853"/>
      <c r="P57" s="2"/>
      <c r="Q57" s="853">
        <f t="shared" si="4"/>
        <v>0</v>
      </c>
      <c r="R57" s="853">
        <f t="shared" si="5"/>
        <v>0</v>
      </c>
    </row>
    <row r="58" spans="1:18" ht="19.5" customHeight="1">
      <c r="A58" s="8"/>
      <c r="B58" s="12"/>
      <c r="C58" s="19">
        <v>7</v>
      </c>
      <c r="D58" s="8"/>
      <c r="E58" s="187">
        <f t="shared" ref="E58:R58" si="11">SUM(E51:E57)</f>
        <v>4227129.6666666605</v>
      </c>
      <c r="F58" s="187"/>
      <c r="G58" s="187">
        <f t="shared" si="11"/>
        <v>4295459.9999999898</v>
      </c>
      <c r="H58" s="187">
        <f t="shared" si="11"/>
        <v>68330.333333335002</v>
      </c>
      <c r="I58" s="187">
        <f t="shared" si="11"/>
        <v>338170.373333333</v>
      </c>
      <c r="J58" s="187">
        <f t="shared" si="11"/>
        <v>343636.8</v>
      </c>
      <c r="K58" s="187">
        <f t="shared" si="11"/>
        <v>5466.4266666667199</v>
      </c>
      <c r="L58" s="187">
        <f t="shared" si="11"/>
        <v>4123641.5999999898</v>
      </c>
      <c r="M58" s="187">
        <f t="shared" si="11"/>
        <v>0</v>
      </c>
      <c r="N58" s="187">
        <f t="shared" si="11"/>
        <v>2697978.5833333302</v>
      </c>
      <c r="O58" s="187">
        <f t="shared" si="11"/>
        <v>17164.479166666701</v>
      </c>
      <c r="P58" s="187">
        <f t="shared" si="11"/>
        <v>16785</v>
      </c>
      <c r="Q58" s="187">
        <f t="shared" si="11"/>
        <v>379.47916666667498</v>
      </c>
      <c r="R58" s="187">
        <f t="shared" si="11"/>
        <v>205973.75</v>
      </c>
    </row>
    <row r="59" spans="1:18" ht="20.100000000000001" customHeight="1">
      <c r="A59" s="8"/>
      <c r="B59" s="12"/>
      <c r="C59" s="2"/>
      <c r="D59" s="8"/>
      <c r="E59" s="187"/>
      <c r="F59" s="187"/>
      <c r="G59" s="187"/>
      <c r="H59" s="186"/>
      <c r="I59" s="187"/>
      <c r="J59" s="187"/>
      <c r="K59" s="187"/>
      <c r="L59" s="70"/>
      <c r="M59" s="187"/>
      <c r="N59" s="187"/>
      <c r="O59" s="853"/>
      <c r="P59" s="187"/>
      <c r="Q59" s="853"/>
      <c r="R59" s="853"/>
    </row>
    <row r="60" spans="1:18" ht="20.100000000000001" customHeight="1">
      <c r="A60" s="8"/>
      <c r="B60" s="21" t="s">
        <v>137</v>
      </c>
      <c r="C60" s="3"/>
      <c r="D60" s="22"/>
      <c r="E60" s="187"/>
      <c r="F60" s="187"/>
      <c r="G60" s="187"/>
      <c r="H60" s="186"/>
      <c r="I60" s="70"/>
      <c r="J60" s="70"/>
      <c r="K60" s="70"/>
      <c r="L60" s="70"/>
      <c r="M60" s="187"/>
      <c r="N60" s="187"/>
      <c r="O60" s="853"/>
      <c r="P60" s="70"/>
      <c r="Q60" s="853"/>
      <c r="R60" s="853"/>
    </row>
    <row r="61" spans="1:18" ht="20.100000000000001" customHeight="1">
      <c r="A61" s="8">
        <v>1</v>
      </c>
      <c r="B61" s="9" t="s">
        <v>138</v>
      </c>
      <c r="C61" s="2" t="s">
        <v>139</v>
      </c>
      <c r="D61" s="8" t="s">
        <v>577</v>
      </c>
      <c r="E61" s="70">
        <v>1647612</v>
      </c>
      <c r="F61" s="155" t="s">
        <v>140</v>
      </c>
      <c r="G61" s="70">
        <v>1697359.33333333</v>
      </c>
      <c r="H61" s="186">
        <f>G61-E61</f>
        <v>49747.333333330003</v>
      </c>
      <c r="I61" s="70">
        <v>131808.95999999999</v>
      </c>
      <c r="J61" s="70">
        <f>G61*0.08</f>
        <v>135788.746666666</v>
      </c>
      <c r="K61" s="70">
        <f>J61-I61</f>
        <v>3979.7866666664199</v>
      </c>
      <c r="L61" s="70">
        <f t="shared" si="3"/>
        <v>1629464.96</v>
      </c>
      <c r="M61" s="155" t="s">
        <v>140</v>
      </c>
      <c r="N61" s="853">
        <v>1056272.83333333</v>
      </c>
      <c r="O61" s="853"/>
      <c r="P61" s="70"/>
      <c r="Q61" s="853">
        <f t="shared" si="4"/>
        <v>0</v>
      </c>
      <c r="R61" s="853">
        <f t="shared" si="5"/>
        <v>0</v>
      </c>
    </row>
    <row r="62" spans="1:18" ht="20.100000000000001" customHeight="1">
      <c r="A62" s="8">
        <v>2</v>
      </c>
      <c r="B62" s="9" t="s">
        <v>141</v>
      </c>
      <c r="C62" s="2" t="s">
        <v>142</v>
      </c>
      <c r="D62" s="8" t="s">
        <v>39</v>
      </c>
      <c r="E62" s="70">
        <v>744477</v>
      </c>
      <c r="F62" s="155" t="s">
        <v>39</v>
      </c>
      <c r="G62" s="70">
        <v>744477</v>
      </c>
      <c r="H62" s="186">
        <f t="shared" ref="H62:H72" si="12">G62-E62</f>
        <v>0</v>
      </c>
      <c r="I62" s="70">
        <v>59558.16</v>
      </c>
      <c r="J62" s="70">
        <f t="shared" ref="J62:J72" si="13">G62*0.08</f>
        <v>59558.16</v>
      </c>
      <c r="K62" s="70">
        <f>J62-I62</f>
        <v>0</v>
      </c>
      <c r="L62" s="70">
        <f t="shared" si="3"/>
        <v>714697.92</v>
      </c>
      <c r="M62" s="155" t="s">
        <v>39</v>
      </c>
      <c r="N62" s="853">
        <v>459010.5</v>
      </c>
      <c r="O62" s="853"/>
      <c r="P62" s="70"/>
      <c r="Q62" s="853">
        <f t="shared" si="4"/>
        <v>0</v>
      </c>
      <c r="R62" s="853">
        <f t="shared" si="5"/>
        <v>0</v>
      </c>
    </row>
    <row r="63" spans="1:18" ht="20.100000000000001" customHeight="1">
      <c r="A63" s="8">
        <v>3</v>
      </c>
      <c r="B63" s="9" t="s">
        <v>143</v>
      </c>
      <c r="C63" s="2" t="s">
        <v>142</v>
      </c>
      <c r="D63" s="8" t="s">
        <v>39</v>
      </c>
      <c r="E63" s="70">
        <v>744477</v>
      </c>
      <c r="F63" s="155" t="s">
        <v>39</v>
      </c>
      <c r="G63" s="70">
        <v>744477</v>
      </c>
      <c r="H63" s="186">
        <f t="shared" si="12"/>
        <v>0</v>
      </c>
      <c r="I63" s="70">
        <v>59558.16</v>
      </c>
      <c r="J63" s="70">
        <f t="shared" si="13"/>
        <v>59558.16</v>
      </c>
      <c r="K63" s="70">
        <f>J63-I63</f>
        <v>0</v>
      </c>
      <c r="L63" s="70">
        <f t="shared" si="3"/>
        <v>714697.92</v>
      </c>
      <c r="M63" s="155" t="s">
        <v>39</v>
      </c>
      <c r="N63" s="853">
        <v>459010.5</v>
      </c>
      <c r="O63" s="853">
        <f>N63*0.025</f>
        <v>11475.262500000001</v>
      </c>
      <c r="P63" s="70">
        <v>11475.262500000001</v>
      </c>
      <c r="Q63" s="853">
        <f t="shared" si="4"/>
        <v>0</v>
      </c>
      <c r="R63" s="853">
        <f t="shared" si="5"/>
        <v>137703.15</v>
      </c>
    </row>
    <row r="64" spans="1:18" ht="20.100000000000001" customHeight="1">
      <c r="A64" s="8">
        <v>4</v>
      </c>
      <c r="B64" s="9" t="s">
        <v>144</v>
      </c>
      <c r="C64" s="2" t="s">
        <v>142</v>
      </c>
      <c r="D64" s="8" t="s">
        <v>50</v>
      </c>
      <c r="E64" s="70">
        <v>722595.5</v>
      </c>
      <c r="F64" s="155" t="s">
        <v>39</v>
      </c>
      <c r="G64" s="70">
        <v>744477</v>
      </c>
      <c r="H64" s="186">
        <f t="shared" si="12"/>
        <v>21881.5</v>
      </c>
      <c r="I64" s="70">
        <v>57807.64</v>
      </c>
      <c r="J64" s="70">
        <f t="shared" si="13"/>
        <v>59558.16</v>
      </c>
      <c r="K64" s="70">
        <f>J64-I64</f>
        <v>1750.52</v>
      </c>
      <c r="L64" s="70">
        <f t="shared" si="3"/>
        <v>714697.92</v>
      </c>
      <c r="M64" s="155" t="s">
        <v>39</v>
      </c>
      <c r="N64" s="853">
        <v>459010.5</v>
      </c>
      <c r="O64" s="853"/>
      <c r="P64" s="70"/>
      <c r="Q64" s="853">
        <f t="shared" si="4"/>
        <v>0</v>
      </c>
      <c r="R64" s="853">
        <f t="shared" si="5"/>
        <v>0</v>
      </c>
    </row>
    <row r="65" spans="1:18" ht="20.100000000000001" customHeight="1">
      <c r="A65" s="8">
        <v>5</v>
      </c>
      <c r="B65" s="12" t="s">
        <v>145</v>
      </c>
      <c r="C65" s="2" t="s">
        <v>142</v>
      </c>
      <c r="D65" s="8" t="s">
        <v>42</v>
      </c>
      <c r="E65" s="70">
        <v>700713.91666666605</v>
      </c>
      <c r="F65" s="155" t="s">
        <v>50</v>
      </c>
      <c r="G65" s="70">
        <v>722595.5</v>
      </c>
      <c r="H65" s="186">
        <f t="shared" si="12"/>
        <v>21881.583333334002</v>
      </c>
      <c r="I65" s="70">
        <v>56057.113333333298</v>
      </c>
      <c r="J65" s="70">
        <f t="shared" si="13"/>
        <v>57807.64</v>
      </c>
      <c r="K65" s="70">
        <f>J65-I65</f>
        <v>1750.5266666667001</v>
      </c>
      <c r="L65" s="70">
        <f t="shared" si="3"/>
        <v>693691.68</v>
      </c>
      <c r="M65" s="155" t="s">
        <v>50</v>
      </c>
      <c r="N65" s="853">
        <v>445995.83333333302</v>
      </c>
      <c r="O65" s="853"/>
      <c r="P65" s="70">
        <v>0</v>
      </c>
      <c r="Q65" s="853">
        <f t="shared" si="4"/>
        <v>0</v>
      </c>
      <c r="R65" s="853">
        <f t="shared" si="5"/>
        <v>0</v>
      </c>
    </row>
    <row r="66" spans="1:18" customFormat="1" ht="20.100000000000001" customHeight="1">
      <c r="A66" s="8">
        <v>6</v>
      </c>
      <c r="B66" s="12" t="s">
        <v>146</v>
      </c>
      <c r="C66" s="2" t="s">
        <v>142</v>
      </c>
      <c r="D66" s="8" t="s">
        <v>42</v>
      </c>
      <c r="E66" s="70">
        <v>700713.91666666605</v>
      </c>
      <c r="F66" s="155" t="s">
        <v>50</v>
      </c>
      <c r="G66" s="70">
        <v>722595.5</v>
      </c>
      <c r="H66" s="186">
        <f t="shared" si="12"/>
        <v>21881.583333334002</v>
      </c>
      <c r="I66" s="70">
        <v>56057.113333333298</v>
      </c>
      <c r="J66" s="70">
        <f t="shared" si="13"/>
        <v>57807.64</v>
      </c>
      <c r="K66" s="70">
        <f t="shared" ref="K66:K72" si="14">J66-I66</f>
        <v>1750.5266666667001</v>
      </c>
      <c r="L66" s="70">
        <f t="shared" si="3"/>
        <v>693691.68</v>
      </c>
      <c r="M66" s="155" t="s">
        <v>50</v>
      </c>
      <c r="N66" s="853">
        <v>445995.83333333302</v>
      </c>
      <c r="O66" s="853"/>
      <c r="P66" s="70">
        <v>0</v>
      </c>
      <c r="Q66" s="853">
        <f t="shared" si="4"/>
        <v>0</v>
      </c>
      <c r="R66" s="853">
        <f t="shared" si="5"/>
        <v>0</v>
      </c>
    </row>
    <row r="67" spans="1:18" ht="20.100000000000001" customHeight="1">
      <c r="A67" s="8">
        <v>7</v>
      </c>
      <c r="B67" s="16" t="s">
        <v>147</v>
      </c>
      <c r="C67" s="2" t="s">
        <v>148</v>
      </c>
      <c r="D67" s="13" t="s">
        <v>179</v>
      </c>
      <c r="E67" s="186">
        <v>441159</v>
      </c>
      <c r="F67" s="155" t="s">
        <v>131</v>
      </c>
      <c r="G67" s="70">
        <v>454993.58333333302</v>
      </c>
      <c r="H67" s="186">
        <f t="shared" si="12"/>
        <v>13834.583333332999</v>
      </c>
      <c r="I67" s="70">
        <v>35292.720000000001</v>
      </c>
      <c r="J67" s="70">
        <f t="shared" si="13"/>
        <v>36399.486666666598</v>
      </c>
      <c r="K67" s="70">
        <f t="shared" si="14"/>
        <v>1106.76666666664</v>
      </c>
      <c r="L67" s="70">
        <f t="shared" si="3"/>
        <v>436793.84</v>
      </c>
      <c r="M67" s="155" t="s">
        <v>131</v>
      </c>
      <c r="N67" s="853">
        <v>286447.08333333302</v>
      </c>
      <c r="O67" s="853"/>
      <c r="P67" s="70"/>
      <c r="Q67" s="853">
        <f t="shared" si="4"/>
        <v>0</v>
      </c>
      <c r="R67" s="853">
        <f t="shared" si="5"/>
        <v>0</v>
      </c>
    </row>
    <row r="68" spans="1:18" ht="20.100000000000001" customHeight="1">
      <c r="A68" s="8">
        <v>8</v>
      </c>
      <c r="B68" s="9" t="s">
        <v>149</v>
      </c>
      <c r="C68" s="2" t="s">
        <v>150</v>
      </c>
      <c r="D68" s="8" t="s">
        <v>78</v>
      </c>
      <c r="E68" s="70">
        <v>390135.83333333401</v>
      </c>
      <c r="F68" s="155" t="s">
        <v>151</v>
      </c>
      <c r="G68" s="70">
        <f>'[2] FGN 2024 MGT Monthly'!$K$39+'[2]Peculiar Allowance'!$K$39</f>
        <v>399131.16666666698</v>
      </c>
      <c r="H68" s="186">
        <f t="shared" si="12"/>
        <v>8995.3333333326209</v>
      </c>
      <c r="I68" s="70">
        <v>31210.866666666701</v>
      </c>
      <c r="J68" s="70">
        <f t="shared" si="13"/>
        <v>31930.493333333299</v>
      </c>
      <c r="K68" s="70">
        <f t="shared" si="14"/>
        <v>719.62666666663097</v>
      </c>
      <c r="L68" s="70">
        <f t="shared" si="3"/>
        <v>383165.92</v>
      </c>
      <c r="M68" s="155" t="s">
        <v>151</v>
      </c>
      <c r="N68" s="853">
        <v>251467.91666666701</v>
      </c>
      <c r="O68" s="853"/>
      <c r="P68" s="70"/>
      <c r="Q68" s="853">
        <f t="shared" si="4"/>
        <v>0</v>
      </c>
      <c r="R68" s="853">
        <f t="shared" si="5"/>
        <v>0</v>
      </c>
    </row>
    <row r="69" spans="1:18" ht="20.100000000000001" customHeight="1">
      <c r="A69" s="8">
        <v>9</v>
      </c>
      <c r="B69" s="9" t="s">
        <v>152</v>
      </c>
      <c r="C69" s="2" t="s">
        <v>83</v>
      </c>
      <c r="D69" s="8" t="s">
        <v>81</v>
      </c>
      <c r="E69" s="70">
        <v>372145.33333333302</v>
      </c>
      <c r="F69" s="155" t="s">
        <v>75</v>
      </c>
      <c r="G69" s="70">
        <v>381140.66666666599</v>
      </c>
      <c r="H69" s="186">
        <f t="shared" si="12"/>
        <v>8995.3333333329592</v>
      </c>
      <c r="I69" s="70">
        <v>29771.6266666667</v>
      </c>
      <c r="J69" s="70">
        <f t="shared" si="13"/>
        <v>30491.253333333301</v>
      </c>
      <c r="K69" s="70">
        <f t="shared" si="14"/>
        <v>719.62666666658004</v>
      </c>
      <c r="L69" s="70">
        <f t="shared" si="3"/>
        <v>365895.03999999899</v>
      </c>
      <c r="M69" s="155" t="s">
        <v>75</v>
      </c>
      <c r="N69" s="853">
        <v>240874.58333333299</v>
      </c>
      <c r="O69" s="853"/>
      <c r="P69" s="70"/>
      <c r="Q69" s="853">
        <f t="shared" si="4"/>
        <v>0</v>
      </c>
      <c r="R69" s="853">
        <f t="shared" si="5"/>
        <v>0</v>
      </c>
    </row>
    <row r="70" spans="1:18" ht="20.100000000000001" customHeight="1">
      <c r="A70" s="8">
        <v>10</v>
      </c>
      <c r="B70" s="9" t="s">
        <v>153</v>
      </c>
      <c r="C70" s="2" t="s">
        <v>150</v>
      </c>
      <c r="D70" s="8" t="s">
        <v>86</v>
      </c>
      <c r="E70" s="70">
        <v>347016.16666666599</v>
      </c>
      <c r="F70" s="155" t="s">
        <v>154</v>
      </c>
      <c r="G70" s="70">
        <v>355320.66666666698</v>
      </c>
      <c r="H70" s="186">
        <f t="shared" si="12"/>
        <v>8304.5000000009895</v>
      </c>
      <c r="I70" s="70">
        <v>27761.293333333299</v>
      </c>
      <c r="J70" s="70">
        <f t="shared" si="13"/>
        <v>28425.653333333401</v>
      </c>
      <c r="K70" s="70">
        <f t="shared" si="14"/>
        <v>664.36000000005902</v>
      </c>
      <c r="L70" s="70">
        <f t="shared" si="3"/>
        <v>341107.84</v>
      </c>
      <c r="M70" s="155" t="s">
        <v>154</v>
      </c>
      <c r="N70" s="853">
        <v>227615.75</v>
      </c>
      <c r="O70" s="853"/>
      <c r="P70" s="70"/>
      <c r="Q70" s="853">
        <f t="shared" si="4"/>
        <v>0</v>
      </c>
      <c r="R70" s="853">
        <f t="shared" si="5"/>
        <v>0</v>
      </c>
    </row>
    <row r="71" spans="1:18" ht="20.100000000000001" customHeight="1">
      <c r="A71" s="8">
        <v>11</v>
      </c>
      <c r="B71" s="9" t="s">
        <v>155</v>
      </c>
      <c r="C71" s="2" t="s">
        <v>150</v>
      </c>
      <c r="D71" s="8" t="s">
        <v>86</v>
      </c>
      <c r="E71" s="70">
        <v>347016.16666666599</v>
      </c>
      <c r="F71" s="155" t="s">
        <v>154</v>
      </c>
      <c r="G71" s="70">
        <v>355320.66666666698</v>
      </c>
      <c r="H71" s="186">
        <f t="shared" si="12"/>
        <v>8304.5000000009895</v>
      </c>
      <c r="I71" s="70">
        <v>27761.293333333299</v>
      </c>
      <c r="J71" s="70">
        <f t="shared" si="13"/>
        <v>28425.653333333401</v>
      </c>
      <c r="K71" s="70">
        <f t="shared" si="14"/>
        <v>664.36000000005902</v>
      </c>
      <c r="L71" s="70">
        <f t="shared" si="3"/>
        <v>341107.84</v>
      </c>
      <c r="M71" s="155" t="s">
        <v>154</v>
      </c>
      <c r="N71" s="853">
        <v>227615.75</v>
      </c>
      <c r="O71" s="853"/>
      <c r="P71" s="70"/>
      <c r="Q71" s="853">
        <f t="shared" si="4"/>
        <v>0</v>
      </c>
      <c r="R71" s="853">
        <f t="shared" si="5"/>
        <v>0</v>
      </c>
    </row>
    <row r="72" spans="1:18" ht="18.75" customHeight="1">
      <c r="A72" s="8">
        <v>12</v>
      </c>
      <c r="B72" s="16" t="s">
        <v>156</v>
      </c>
      <c r="C72" s="2" t="s">
        <v>150</v>
      </c>
      <c r="D72" s="8" t="s">
        <v>225</v>
      </c>
      <c r="E72" s="70">
        <v>330407.08333333302</v>
      </c>
      <c r="F72" s="155" t="s">
        <v>99</v>
      </c>
      <c r="G72" s="70">
        <v>338711.66666666698</v>
      </c>
      <c r="H72" s="186">
        <f t="shared" si="12"/>
        <v>8304.5833333339506</v>
      </c>
      <c r="I72" s="70">
        <v>26432.566666666698</v>
      </c>
      <c r="J72" s="70">
        <f t="shared" si="13"/>
        <v>27096.9333333334</v>
      </c>
      <c r="K72" s="70">
        <f t="shared" si="14"/>
        <v>664.36666666666099</v>
      </c>
      <c r="L72" s="70">
        <f t="shared" ref="L72:L135" si="15">J72*12</f>
        <v>325163.2</v>
      </c>
      <c r="M72" s="155" t="s">
        <v>99</v>
      </c>
      <c r="N72" s="853">
        <v>217733.41666666701</v>
      </c>
      <c r="O72" s="853"/>
      <c r="P72" s="70"/>
      <c r="Q72" s="853">
        <f t="shared" si="4"/>
        <v>0</v>
      </c>
      <c r="R72" s="853">
        <f t="shared" si="5"/>
        <v>0</v>
      </c>
    </row>
    <row r="73" spans="1:18" ht="25.5" customHeight="1">
      <c r="A73" s="8"/>
      <c r="B73" s="18" t="s">
        <v>120</v>
      </c>
      <c r="C73" s="19">
        <v>12</v>
      </c>
      <c r="D73" s="19"/>
      <c r="E73" s="78">
        <f t="shared" ref="E73:K73" si="16">SUM(E61:E72)</f>
        <v>7488468.9166666605</v>
      </c>
      <c r="F73" s="78"/>
      <c r="G73" s="78">
        <f t="shared" si="16"/>
        <v>7660599.75</v>
      </c>
      <c r="H73" s="78">
        <f t="shared" si="16"/>
        <v>172130.833333332</v>
      </c>
      <c r="I73" s="78">
        <f t="shared" si="16"/>
        <v>599077.51333333296</v>
      </c>
      <c r="J73" s="78">
        <f t="shared" si="16"/>
        <v>612847.98</v>
      </c>
      <c r="K73" s="78">
        <f t="shared" si="16"/>
        <v>13770.4666666664</v>
      </c>
      <c r="L73" s="78">
        <f t="shared" ref="L73:R73" si="17">SUM(L61:L72)</f>
        <v>7354175.7599999998</v>
      </c>
      <c r="M73" s="78">
        <f t="shared" si="17"/>
        <v>0</v>
      </c>
      <c r="N73" s="78">
        <f t="shared" si="17"/>
        <v>4777050.5</v>
      </c>
      <c r="O73" s="78">
        <f t="shared" si="17"/>
        <v>11475.262500000001</v>
      </c>
      <c r="P73" s="78">
        <f t="shared" si="17"/>
        <v>11475.262500000001</v>
      </c>
      <c r="Q73" s="78">
        <f t="shared" si="17"/>
        <v>0</v>
      </c>
      <c r="R73" s="78">
        <f t="shared" si="17"/>
        <v>137703.15</v>
      </c>
    </row>
    <row r="74" spans="1:18" ht="20.100000000000001" customHeight="1">
      <c r="A74" s="8"/>
      <c r="B74" s="20"/>
      <c r="C74" s="19"/>
      <c r="D74" s="19"/>
      <c r="E74" s="122"/>
      <c r="F74" s="122"/>
      <c r="G74" s="122"/>
      <c r="H74" s="186"/>
      <c r="I74" s="122"/>
      <c r="J74" s="122"/>
      <c r="K74" s="122"/>
      <c r="L74" s="70"/>
      <c r="M74" s="122"/>
      <c r="N74" s="122"/>
      <c r="O74" s="853"/>
      <c r="P74" s="122"/>
      <c r="Q74" s="853"/>
      <c r="R74" s="853"/>
    </row>
    <row r="75" spans="1:18" ht="20.100000000000001" customHeight="1">
      <c r="A75" s="8"/>
      <c r="B75" s="18" t="s">
        <v>157</v>
      </c>
      <c r="C75" s="19"/>
      <c r="D75" s="19"/>
      <c r="E75" s="122"/>
      <c r="F75" s="122"/>
      <c r="G75" s="122"/>
      <c r="H75" s="186"/>
      <c r="I75" s="122"/>
      <c r="J75" s="122"/>
      <c r="K75" s="122"/>
      <c r="L75" s="70"/>
      <c r="M75" s="122"/>
      <c r="N75" s="122"/>
      <c r="O75" s="853"/>
      <c r="P75" s="122"/>
      <c r="Q75" s="853"/>
      <c r="R75" s="853"/>
    </row>
    <row r="76" spans="1:18" ht="20.100000000000001" customHeight="1">
      <c r="A76" s="8">
        <v>1</v>
      </c>
      <c r="B76" s="9" t="s">
        <v>158</v>
      </c>
      <c r="C76" s="10" t="s">
        <v>159</v>
      </c>
      <c r="D76" s="13" t="s">
        <v>124</v>
      </c>
      <c r="E76" s="70">
        <v>1747106.41666666</v>
      </c>
      <c r="F76" s="13" t="s">
        <v>124</v>
      </c>
      <c r="G76" s="70">
        <v>1747106.41666666</v>
      </c>
      <c r="H76" s="186">
        <f>G76-E76</f>
        <v>0</v>
      </c>
      <c r="I76" s="630">
        <v>139768.51333333299</v>
      </c>
      <c r="J76" s="630">
        <v>139768.51333333299</v>
      </c>
      <c r="K76" s="630">
        <f>J76-I76</f>
        <v>0</v>
      </c>
      <c r="L76" s="70">
        <f t="shared" si="15"/>
        <v>1677222.16</v>
      </c>
      <c r="M76" s="13" t="s">
        <v>124</v>
      </c>
      <c r="N76" s="853">
        <v>1086777.08333333</v>
      </c>
      <c r="O76" s="853"/>
      <c r="P76" s="70">
        <v>0</v>
      </c>
      <c r="Q76" s="853">
        <f t="shared" ref="Q76:Q136" si="18">O76-P76</f>
        <v>0</v>
      </c>
      <c r="R76" s="853">
        <f t="shared" ref="R76:R136" si="19">O76*12</f>
        <v>0</v>
      </c>
    </row>
    <row r="77" spans="1:18" ht="20.100000000000001" customHeight="1">
      <c r="A77" s="8">
        <v>2</v>
      </c>
      <c r="B77" s="9" t="s">
        <v>160</v>
      </c>
      <c r="C77" s="10" t="s">
        <v>161</v>
      </c>
      <c r="D77" s="13" t="s">
        <v>162</v>
      </c>
      <c r="E77" s="70">
        <v>744477</v>
      </c>
      <c r="F77" s="13" t="s">
        <v>162</v>
      </c>
      <c r="G77" s="70">
        <v>744477</v>
      </c>
      <c r="H77" s="186">
        <f>G77-E77</f>
        <v>0</v>
      </c>
      <c r="I77" s="630">
        <v>59558.16</v>
      </c>
      <c r="J77" s="630">
        <v>59558.16</v>
      </c>
      <c r="K77" s="630">
        <f>J77-I77</f>
        <v>0</v>
      </c>
      <c r="L77" s="70">
        <f t="shared" si="15"/>
        <v>714697.92</v>
      </c>
      <c r="M77" s="13" t="s">
        <v>162</v>
      </c>
      <c r="N77" s="853">
        <v>459010.5</v>
      </c>
      <c r="O77" s="853"/>
      <c r="P77" s="70">
        <v>0</v>
      </c>
      <c r="Q77" s="853">
        <f t="shared" si="18"/>
        <v>0</v>
      </c>
      <c r="R77" s="853">
        <f t="shared" si="19"/>
        <v>0</v>
      </c>
    </row>
    <row r="78" spans="1:18" ht="20.100000000000001" customHeight="1">
      <c r="A78" s="8"/>
      <c r="B78" s="18" t="s">
        <v>120</v>
      </c>
      <c r="C78" s="19">
        <v>2</v>
      </c>
      <c r="D78" s="19"/>
      <c r="E78" s="78">
        <f t="shared" ref="E78:K78" si="20">SUM(E76:E77)</f>
        <v>2491583.41666666</v>
      </c>
      <c r="F78" s="78"/>
      <c r="G78" s="78">
        <f t="shared" si="20"/>
        <v>2491583.41666666</v>
      </c>
      <c r="H78" s="78">
        <f t="shared" si="20"/>
        <v>0</v>
      </c>
      <c r="I78" s="78">
        <f t="shared" si="20"/>
        <v>199326.67333333299</v>
      </c>
      <c r="J78" s="78">
        <f t="shared" si="20"/>
        <v>199326.67333333299</v>
      </c>
      <c r="K78" s="78">
        <f t="shared" si="20"/>
        <v>0</v>
      </c>
      <c r="L78" s="122">
        <f t="shared" si="15"/>
        <v>2391920.08</v>
      </c>
      <c r="M78" s="78"/>
      <c r="N78" s="78"/>
      <c r="O78" s="853"/>
      <c r="P78" s="78">
        <f>SUM(P76:P77)</f>
        <v>0</v>
      </c>
      <c r="Q78" s="853"/>
      <c r="R78" s="853"/>
    </row>
    <row r="79" spans="1:18" ht="20.100000000000001" customHeight="1">
      <c r="A79" s="8"/>
      <c r="B79" s="18"/>
      <c r="C79" s="19"/>
      <c r="D79" s="19"/>
      <c r="E79" s="122"/>
      <c r="F79" s="122"/>
      <c r="G79" s="122"/>
      <c r="H79" s="186"/>
      <c r="I79" s="122"/>
      <c r="J79" s="122"/>
      <c r="K79" s="122"/>
      <c r="L79" s="70"/>
      <c r="M79" s="122"/>
      <c r="N79" s="122"/>
      <c r="O79" s="853"/>
      <c r="P79" s="122"/>
      <c r="Q79" s="853"/>
      <c r="R79" s="853"/>
    </row>
    <row r="80" spans="1:18" ht="20.100000000000001" customHeight="1">
      <c r="A80" s="8"/>
      <c r="B80" s="18" t="s">
        <v>163</v>
      </c>
      <c r="C80" s="19"/>
      <c r="D80" s="19"/>
      <c r="E80" s="122"/>
      <c r="F80" s="122"/>
      <c r="G80" s="122"/>
      <c r="H80" s="186"/>
      <c r="I80" s="122"/>
      <c r="J80" s="122"/>
      <c r="K80" s="122"/>
      <c r="L80" s="70"/>
      <c r="M80" s="122"/>
      <c r="N80" s="122"/>
      <c r="O80" s="853"/>
      <c r="P80" s="122"/>
      <c r="Q80" s="853"/>
      <c r="R80" s="853"/>
    </row>
    <row r="81" spans="1:18" ht="20.100000000000001" customHeight="1">
      <c r="A81" s="8">
        <v>1</v>
      </c>
      <c r="B81" s="12" t="s">
        <v>164</v>
      </c>
      <c r="C81" s="2" t="s">
        <v>165</v>
      </c>
      <c r="D81" s="8" t="s">
        <v>36</v>
      </c>
      <c r="E81" s="70">
        <v>905306.75</v>
      </c>
      <c r="F81" s="155" t="s">
        <v>36</v>
      </c>
      <c r="G81" s="70">
        <v>905306.75</v>
      </c>
      <c r="H81" s="186">
        <f>G81-E81</f>
        <v>0</v>
      </c>
      <c r="I81" s="70">
        <v>72424.539999999994</v>
      </c>
      <c r="J81" s="70">
        <f>G81*0.08</f>
        <v>72424.539999999994</v>
      </c>
      <c r="K81" s="70">
        <f>J81-I81</f>
        <v>0</v>
      </c>
      <c r="L81" s="70">
        <f t="shared" si="15"/>
        <v>869094.48</v>
      </c>
      <c r="M81" s="155" t="s">
        <v>36</v>
      </c>
      <c r="N81" s="853">
        <v>554669.5</v>
      </c>
      <c r="O81" s="853">
        <f>N81*0.025</f>
        <v>13866.737499999999</v>
      </c>
      <c r="P81" s="70">
        <v>13866.737499999999</v>
      </c>
      <c r="Q81" s="853">
        <f t="shared" si="18"/>
        <v>0</v>
      </c>
      <c r="R81" s="853">
        <f t="shared" si="19"/>
        <v>166400.85</v>
      </c>
    </row>
    <row r="82" spans="1:18" ht="20.100000000000001" customHeight="1">
      <c r="A82" s="8">
        <v>2</v>
      </c>
      <c r="B82" s="9" t="s">
        <v>166</v>
      </c>
      <c r="C82" s="2" t="s">
        <v>52</v>
      </c>
      <c r="D82" s="8" t="s">
        <v>214</v>
      </c>
      <c r="E82" s="70">
        <v>558165.25</v>
      </c>
      <c r="F82" s="155" t="s">
        <v>47</v>
      </c>
      <c r="G82" s="70">
        <v>573911.08333333395</v>
      </c>
      <c r="H82" s="186">
        <f t="shared" ref="H82:H91" si="21">G82-E82</f>
        <v>15745.833333334</v>
      </c>
      <c r="I82" s="70">
        <v>44653.22</v>
      </c>
      <c r="J82" s="70">
        <f t="shared" ref="J82:J91" si="22">G82*0.08</f>
        <v>45912.886666666702</v>
      </c>
      <c r="K82" s="70">
        <f t="shared" ref="K82:K91" si="23">J82-I82</f>
        <v>1259.6666666667199</v>
      </c>
      <c r="L82" s="70">
        <f t="shared" si="15"/>
        <v>550954.64000000095</v>
      </c>
      <c r="M82" s="155" t="s">
        <v>47</v>
      </c>
      <c r="N82" s="853">
        <v>357066.66666666698</v>
      </c>
      <c r="O82" s="853"/>
      <c r="P82" s="70"/>
      <c r="Q82" s="853">
        <f t="shared" si="18"/>
        <v>0</v>
      </c>
      <c r="R82" s="853">
        <f t="shared" si="19"/>
        <v>0</v>
      </c>
    </row>
    <row r="83" spans="1:18" ht="20.100000000000001" customHeight="1">
      <c r="A83" s="8">
        <v>3</v>
      </c>
      <c r="B83" s="16" t="s">
        <v>167</v>
      </c>
      <c r="C83" s="15" t="s">
        <v>217</v>
      </c>
      <c r="D83" s="13" t="s">
        <v>67</v>
      </c>
      <c r="E83" s="70">
        <v>482846.58333333302</v>
      </c>
      <c r="F83" s="155" t="s">
        <v>64</v>
      </c>
      <c r="G83" s="70">
        <v>497472.75</v>
      </c>
      <c r="H83" s="186">
        <f t="shared" si="21"/>
        <v>14626.166666667001</v>
      </c>
      <c r="I83" s="70">
        <v>38627.726666666698</v>
      </c>
      <c r="J83" s="70">
        <f t="shared" si="22"/>
        <v>39797.82</v>
      </c>
      <c r="K83" s="70">
        <f t="shared" si="23"/>
        <v>1170.0933333333001</v>
      </c>
      <c r="L83" s="70">
        <f t="shared" si="15"/>
        <v>477573.84</v>
      </c>
      <c r="M83" s="155" t="s">
        <v>64</v>
      </c>
      <c r="N83" s="853">
        <v>311673.25</v>
      </c>
      <c r="O83" s="853">
        <f>N83*0.025</f>
        <v>7791.8312500000002</v>
      </c>
      <c r="P83" s="70">
        <v>7574.69</v>
      </c>
      <c r="Q83" s="853">
        <f t="shared" si="18"/>
        <v>217.14125000000101</v>
      </c>
      <c r="R83" s="853">
        <f t="shared" si="19"/>
        <v>93501.975000000006</v>
      </c>
    </row>
    <row r="84" spans="1:18" ht="20.100000000000001" customHeight="1">
      <c r="A84" s="8">
        <v>4</v>
      </c>
      <c r="B84" s="16" t="s">
        <v>169</v>
      </c>
      <c r="C84" s="15" t="s">
        <v>217</v>
      </c>
      <c r="D84" s="13" t="s">
        <v>67</v>
      </c>
      <c r="E84" s="70">
        <v>482846.58333333302</v>
      </c>
      <c r="F84" s="155" t="s">
        <v>64</v>
      </c>
      <c r="G84" s="70">
        <v>497472.75</v>
      </c>
      <c r="H84" s="186">
        <f t="shared" si="21"/>
        <v>14626.166666667001</v>
      </c>
      <c r="I84" s="70">
        <v>38627.726666666698</v>
      </c>
      <c r="J84" s="70">
        <f t="shared" si="22"/>
        <v>39797.82</v>
      </c>
      <c r="K84" s="70">
        <f t="shared" si="23"/>
        <v>1170.0933333333001</v>
      </c>
      <c r="L84" s="70">
        <f t="shared" si="15"/>
        <v>477573.84</v>
      </c>
      <c r="M84" s="155" t="s">
        <v>64</v>
      </c>
      <c r="N84" s="853">
        <v>311673.25</v>
      </c>
      <c r="O84" s="853">
        <f>N84*0.025</f>
        <v>7791.8312500000002</v>
      </c>
      <c r="P84" s="70">
        <v>7574.69</v>
      </c>
      <c r="Q84" s="853">
        <f t="shared" si="18"/>
        <v>217.14125000000101</v>
      </c>
      <c r="R84" s="853">
        <f t="shared" si="19"/>
        <v>93501.975000000006</v>
      </c>
    </row>
    <row r="85" spans="1:18" ht="20.100000000000001" customHeight="1">
      <c r="A85" s="8">
        <v>5</v>
      </c>
      <c r="B85" s="9" t="s">
        <v>170</v>
      </c>
      <c r="C85" s="2" t="s">
        <v>150</v>
      </c>
      <c r="D85" s="8" t="s">
        <v>70</v>
      </c>
      <c r="E85" s="70">
        <v>468828.16666666698</v>
      </c>
      <c r="F85" s="155" t="s">
        <v>172</v>
      </c>
      <c r="G85" s="70">
        <v>482662.66666666698</v>
      </c>
      <c r="H85" s="186">
        <f t="shared" si="21"/>
        <v>13834.5</v>
      </c>
      <c r="I85" s="70">
        <v>37506.253333333399</v>
      </c>
      <c r="J85" s="70">
        <f t="shared" si="22"/>
        <v>38613.013333333402</v>
      </c>
      <c r="K85" s="70">
        <f t="shared" si="23"/>
        <v>1106.75999999996</v>
      </c>
      <c r="L85" s="70">
        <f t="shared" si="15"/>
        <v>463356.15999999997</v>
      </c>
      <c r="M85" s="155" t="s">
        <v>172</v>
      </c>
      <c r="N85" s="853">
        <v>302878.66666666698</v>
      </c>
      <c r="O85" s="853">
        <f>N85*0.025</f>
        <v>7571.9666666666699</v>
      </c>
      <c r="P85" s="70">
        <f>7366.57</f>
        <v>7366.57</v>
      </c>
      <c r="Q85" s="853">
        <f t="shared" si="18"/>
        <v>205.396666666675</v>
      </c>
      <c r="R85" s="853">
        <f t="shared" si="19"/>
        <v>90863.600000000093</v>
      </c>
    </row>
    <row r="86" spans="1:18" ht="20.100000000000001" customHeight="1">
      <c r="A86" s="8">
        <v>6</v>
      </c>
      <c r="B86" s="9" t="s">
        <v>171</v>
      </c>
      <c r="C86" s="15" t="s">
        <v>72</v>
      </c>
      <c r="D86" s="8" t="s">
        <v>70</v>
      </c>
      <c r="E86" s="70">
        <v>468828.16666666698</v>
      </c>
      <c r="F86" s="155" t="s">
        <v>172</v>
      </c>
      <c r="G86" s="70">
        <v>482662.66666666698</v>
      </c>
      <c r="H86" s="186">
        <f t="shared" si="21"/>
        <v>13834.5</v>
      </c>
      <c r="I86" s="70">
        <v>37506.253333333399</v>
      </c>
      <c r="J86" s="70">
        <f t="shared" si="22"/>
        <v>38613.013333333402</v>
      </c>
      <c r="K86" s="70">
        <f t="shared" si="23"/>
        <v>1106.75999999996</v>
      </c>
      <c r="L86" s="70">
        <f t="shared" si="15"/>
        <v>463356.15999999997</v>
      </c>
      <c r="M86" s="155" t="s">
        <v>172</v>
      </c>
      <c r="N86" s="853">
        <v>302878.66666666698</v>
      </c>
      <c r="O86" s="853"/>
      <c r="P86" s="70"/>
      <c r="Q86" s="853">
        <f t="shared" si="18"/>
        <v>0</v>
      </c>
      <c r="R86" s="853">
        <f t="shared" si="19"/>
        <v>0</v>
      </c>
    </row>
    <row r="87" spans="1:18" ht="20.100000000000001" customHeight="1">
      <c r="A87" s="8">
        <v>7</v>
      </c>
      <c r="B87" s="9" t="s">
        <v>173</v>
      </c>
      <c r="C87" s="15" t="s">
        <v>72</v>
      </c>
      <c r="D87" s="8" t="s">
        <v>70</v>
      </c>
      <c r="E87" s="70">
        <v>468828.16666666698</v>
      </c>
      <c r="F87" s="155" t="s">
        <v>172</v>
      </c>
      <c r="G87" s="70">
        <v>482662.66666666698</v>
      </c>
      <c r="H87" s="186">
        <f t="shared" si="21"/>
        <v>13834.5</v>
      </c>
      <c r="I87" s="70">
        <v>37506.253333333399</v>
      </c>
      <c r="J87" s="70">
        <f t="shared" si="22"/>
        <v>38613.013333333402</v>
      </c>
      <c r="K87" s="70">
        <f t="shared" si="23"/>
        <v>1106.75999999996</v>
      </c>
      <c r="L87" s="70">
        <f t="shared" si="15"/>
        <v>463356.15999999997</v>
      </c>
      <c r="M87" s="155" t="s">
        <v>172</v>
      </c>
      <c r="N87" s="853">
        <v>302878.66666666698</v>
      </c>
      <c r="O87" s="853"/>
      <c r="P87" s="70"/>
      <c r="Q87" s="853">
        <f t="shared" si="18"/>
        <v>0</v>
      </c>
      <c r="R87" s="853">
        <f t="shared" si="19"/>
        <v>0</v>
      </c>
    </row>
    <row r="88" spans="1:18" ht="20.100000000000001" customHeight="1">
      <c r="A88" s="8">
        <v>8</v>
      </c>
      <c r="B88" s="9" t="s">
        <v>174</v>
      </c>
      <c r="C88" s="2" t="s">
        <v>175</v>
      </c>
      <c r="D88" s="13" t="s">
        <v>67</v>
      </c>
      <c r="E88" s="70">
        <v>482846.58333333302</v>
      </c>
      <c r="F88" s="155" t="s">
        <v>67</v>
      </c>
      <c r="G88" s="70">
        <v>482846.58333333302</v>
      </c>
      <c r="H88" s="186">
        <f t="shared" si="21"/>
        <v>0</v>
      </c>
      <c r="I88" s="70">
        <v>38627.726666666698</v>
      </c>
      <c r="J88" s="70">
        <f t="shared" si="22"/>
        <v>38627.726666666596</v>
      </c>
      <c r="K88" s="70">
        <f t="shared" si="23"/>
        <v>-5.8207660913467401E-11</v>
      </c>
      <c r="L88" s="70">
        <f t="shared" si="15"/>
        <v>463532.72</v>
      </c>
      <c r="M88" s="155" t="s">
        <v>67</v>
      </c>
      <c r="N88" s="853">
        <v>302987.41666666698</v>
      </c>
      <c r="O88" s="853"/>
      <c r="P88" s="70"/>
      <c r="Q88" s="853">
        <f t="shared" si="18"/>
        <v>0</v>
      </c>
      <c r="R88" s="853">
        <f t="shared" si="19"/>
        <v>0</v>
      </c>
    </row>
    <row r="89" spans="1:18" ht="20.100000000000001" customHeight="1">
      <c r="A89" s="8">
        <v>9</v>
      </c>
      <c r="B89" s="12" t="s">
        <v>176</v>
      </c>
      <c r="C89" s="15" t="s">
        <v>177</v>
      </c>
      <c r="D89" s="8" t="s">
        <v>179</v>
      </c>
      <c r="E89" s="70">
        <v>441159</v>
      </c>
      <c r="F89" s="155" t="s">
        <v>131</v>
      </c>
      <c r="G89" s="70">
        <v>454993.58333333302</v>
      </c>
      <c r="H89" s="186">
        <f t="shared" si="21"/>
        <v>13834.583333332999</v>
      </c>
      <c r="I89" s="70">
        <v>35292.720000000001</v>
      </c>
      <c r="J89" s="70">
        <f t="shared" si="22"/>
        <v>36399.486666666598</v>
      </c>
      <c r="K89" s="70">
        <f t="shared" si="23"/>
        <v>1106.76666666664</v>
      </c>
      <c r="L89" s="70">
        <f t="shared" si="15"/>
        <v>436793.84</v>
      </c>
      <c r="M89" s="155" t="s">
        <v>131</v>
      </c>
      <c r="N89" s="853">
        <v>286447.08333333302</v>
      </c>
      <c r="O89" s="853">
        <f>N89*0.025</f>
        <v>7161.1770833333303</v>
      </c>
      <c r="P89" s="70">
        <v>6955.78125</v>
      </c>
      <c r="Q89" s="853">
        <f t="shared" si="18"/>
        <v>205.39583333332601</v>
      </c>
      <c r="R89" s="853">
        <f t="shared" si="19"/>
        <v>85934.124999999898</v>
      </c>
    </row>
    <row r="90" spans="1:18" ht="21.6" customHeight="1">
      <c r="A90" s="8">
        <v>10</v>
      </c>
      <c r="B90" s="9" t="s">
        <v>178</v>
      </c>
      <c r="C90" s="2" t="s">
        <v>150</v>
      </c>
      <c r="D90" s="8" t="s">
        <v>78</v>
      </c>
      <c r="E90" s="186">
        <v>390135.83333333401</v>
      </c>
      <c r="F90" s="155" t="s">
        <v>151</v>
      </c>
      <c r="G90" s="70">
        <v>399131.16666666698</v>
      </c>
      <c r="H90" s="186">
        <f t="shared" si="21"/>
        <v>8995.3333333329592</v>
      </c>
      <c r="I90" s="70">
        <v>31210.866666666701</v>
      </c>
      <c r="J90" s="70">
        <f t="shared" si="22"/>
        <v>31930.493333333401</v>
      </c>
      <c r="K90" s="70">
        <f t="shared" si="23"/>
        <v>719.62666666665598</v>
      </c>
      <c r="L90" s="70">
        <f t="shared" si="15"/>
        <v>383165.92</v>
      </c>
      <c r="M90" s="155" t="s">
        <v>151</v>
      </c>
      <c r="N90" s="853">
        <v>251467.91666666701</v>
      </c>
      <c r="O90" s="853">
        <f>N90*0.025</f>
        <v>6286.6979166666797</v>
      </c>
      <c r="P90" s="860">
        <v>6154.2791666666799</v>
      </c>
      <c r="Q90" s="853">
        <f t="shared" si="18"/>
        <v>132.41874999999499</v>
      </c>
      <c r="R90" s="853">
        <f t="shared" si="19"/>
        <v>75440.375000000102</v>
      </c>
    </row>
    <row r="91" spans="1:18" ht="18.75" customHeight="1">
      <c r="A91" s="8">
        <v>11</v>
      </c>
      <c r="B91" s="16" t="s">
        <v>180</v>
      </c>
      <c r="C91" s="2" t="s">
        <v>181</v>
      </c>
      <c r="D91" s="8" t="s">
        <v>225</v>
      </c>
      <c r="E91" s="70">
        <v>330407.08333333302</v>
      </c>
      <c r="F91" s="155" t="s">
        <v>99</v>
      </c>
      <c r="G91" s="70">
        <v>338711.66666666698</v>
      </c>
      <c r="H91" s="186">
        <f t="shared" si="21"/>
        <v>8304.5833333339506</v>
      </c>
      <c r="I91" s="70">
        <v>26432.566666666698</v>
      </c>
      <c r="J91" s="70">
        <f t="shared" si="22"/>
        <v>27096.9333333334</v>
      </c>
      <c r="K91" s="70">
        <f t="shared" si="23"/>
        <v>664.36666666666099</v>
      </c>
      <c r="L91" s="70">
        <f t="shared" si="15"/>
        <v>325163.2</v>
      </c>
      <c r="M91" s="155" t="s">
        <v>99</v>
      </c>
      <c r="N91" s="853">
        <v>217733.41666666701</v>
      </c>
      <c r="O91" s="853"/>
      <c r="P91" s="70"/>
      <c r="Q91" s="853">
        <f t="shared" si="18"/>
        <v>0</v>
      </c>
      <c r="R91" s="853">
        <f t="shared" si="19"/>
        <v>0</v>
      </c>
    </row>
    <row r="92" spans="1:18" ht="27" customHeight="1">
      <c r="A92" s="8"/>
      <c r="B92" s="18" t="s">
        <v>120</v>
      </c>
      <c r="C92" s="19">
        <v>11</v>
      </c>
      <c r="D92" s="19"/>
      <c r="E92" s="78">
        <f t="shared" ref="E92:K92" si="24">SUM(E81:E91)</f>
        <v>5480198.1666666698</v>
      </c>
      <c r="F92" s="78"/>
      <c r="G92" s="78">
        <f t="shared" si="24"/>
        <v>5597834.3333333302</v>
      </c>
      <c r="H92" s="78">
        <f t="shared" si="24"/>
        <v>117636.166666668</v>
      </c>
      <c r="I92" s="78">
        <f t="shared" si="24"/>
        <v>438415.85333333397</v>
      </c>
      <c r="J92" s="78">
        <f t="shared" si="24"/>
        <v>447826.74666666699</v>
      </c>
      <c r="K92" s="78">
        <f t="shared" si="24"/>
        <v>9410.8933333330897</v>
      </c>
      <c r="L92" s="78">
        <f t="shared" ref="L92:R92" si="25">SUM(L81:L91)</f>
        <v>5373920.96</v>
      </c>
      <c r="M92" s="78">
        <f t="shared" si="25"/>
        <v>0</v>
      </c>
      <c r="N92" s="78">
        <f t="shared" si="25"/>
        <v>3502354.5</v>
      </c>
      <c r="O92" s="78">
        <f t="shared" si="25"/>
        <v>50470.241666666698</v>
      </c>
      <c r="P92" s="78">
        <f t="shared" si="25"/>
        <v>49492.747916666704</v>
      </c>
      <c r="Q92" s="78">
        <f t="shared" si="25"/>
        <v>977.49374999999702</v>
      </c>
      <c r="R92" s="78">
        <f t="shared" si="25"/>
        <v>605642.9</v>
      </c>
    </row>
    <row r="93" spans="1:18" ht="20.100000000000001" customHeight="1">
      <c r="A93" s="8"/>
      <c r="B93" s="20"/>
      <c r="C93" s="19"/>
      <c r="D93" s="19"/>
      <c r="E93" s="122"/>
      <c r="F93" s="122"/>
      <c r="G93" s="122"/>
      <c r="H93" s="186"/>
      <c r="I93" s="122"/>
      <c r="J93" s="122"/>
      <c r="K93" s="122"/>
      <c r="L93" s="70"/>
      <c r="M93" s="122"/>
      <c r="N93" s="122"/>
      <c r="O93" s="853"/>
      <c r="P93" s="122"/>
      <c r="Q93" s="853"/>
      <c r="R93" s="853"/>
    </row>
    <row r="94" spans="1:18" ht="20.100000000000001" customHeight="1">
      <c r="A94" s="8"/>
      <c r="B94" s="18" t="s">
        <v>182</v>
      </c>
      <c r="C94" s="19"/>
      <c r="D94" s="19"/>
      <c r="E94" s="122"/>
      <c r="F94" s="122"/>
      <c r="G94" s="122"/>
      <c r="H94" s="186"/>
      <c r="I94" s="122"/>
      <c r="J94" s="122"/>
      <c r="K94" s="122"/>
      <c r="L94" s="70"/>
      <c r="M94" s="122"/>
      <c r="N94" s="122"/>
      <c r="O94" s="853"/>
      <c r="P94" s="122"/>
      <c r="Q94" s="853"/>
      <c r="R94" s="853"/>
    </row>
    <row r="95" spans="1:18" ht="20.100000000000001" customHeight="1">
      <c r="A95" s="8">
        <v>1</v>
      </c>
      <c r="B95" s="9" t="s">
        <v>183</v>
      </c>
      <c r="C95" s="2" t="s">
        <v>184</v>
      </c>
      <c r="D95" s="8" t="s">
        <v>124</v>
      </c>
      <c r="E95" s="70">
        <v>1747106.41666666</v>
      </c>
      <c r="F95" s="8" t="s">
        <v>124</v>
      </c>
      <c r="G95" s="70">
        <v>1747106.41666666</v>
      </c>
      <c r="H95" s="186">
        <f>G95-E95</f>
        <v>0</v>
      </c>
      <c r="I95" s="70">
        <v>139768.51333333299</v>
      </c>
      <c r="J95" s="70">
        <f>G95*0.08</f>
        <v>139768.51333333299</v>
      </c>
      <c r="K95" s="70">
        <f>J95-I95</f>
        <v>0</v>
      </c>
      <c r="L95" s="70">
        <f t="shared" si="15"/>
        <v>1677222.1599999899</v>
      </c>
      <c r="M95" s="8" t="s">
        <v>124</v>
      </c>
      <c r="N95" s="853">
        <v>1086777.08333333</v>
      </c>
      <c r="O95" s="853"/>
      <c r="P95" s="70">
        <v>0</v>
      </c>
      <c r="Q95" s="853">
        <f t="shared" si="18"/>
        <v>0</v>
      </c>
      <c r="R95" s="853">
        <f t="shared" si="19"/>
        <v>0</v>
      </c>
    </row>
    <row r="96" spans="1:18" ht="20.100000000000001" customHeight="1">
      <c r="A96" s="8">
        <v>2</v>
      </c>
      <c r="B96" s="9" t="s">
        <v>185</v>
      </c>
      <c r="C96" s="2" t="s">
        <v>186</v>
      </c>
      <c r="D96" s="8" t="s">
        <v>42</v>
      </c>
      <c r="E96" s="70">
        <v>722595.5</v>
      </c>
      <c r="F96" s="8" t="s">
        <v>50</v>
      </c>
      <c r="G96" s="70">
        <v>722595.5</v>
      </c>
      <c r="H96" s="186">
        <f t="shared" ref="H96:H105" si="26">G96-E96</f>
        <v>0</v>
      </c>
      <c r="I96" s="70">
        <v>57807.64</v>
      </c>
      <c r="J96" s="70">
        <f t="shared" ref="J96:J105" si="27">G96*0.08</f>
        <v>57807.64</v>
      </c>
      <c r="K96" s="70">
        <f t="shared" ref="K96:K105" si="28">J96-I96</f>
        <v>0</v>
      </c>
      <c r="L96" s="70">
        <f t="shared" si="15"/>
        <v>693691.68</v>
      </c>
      <c r="M96" s="8" t="s">
        <v>50</v>
      </c>
      <c r="N96" s="853">
        <v>445995.83333333302</v>
      </c>
      <c r="O96" s="853"/>
      <c r="P96" s="70"/>
      <c r="Q96" s="853">
        <f t="shared" si="18"/>
        <v>0</v>
      </c>
      <c r="R96" s="853">
        <f t="shared" si="19"/>
        <v>0</v>
      </c>
    </row>
    <row r="97" spans="1:18" ht="20.100000000000001" customHeight="1">
      <c r="A97" s="8">
        <v>3</v>
      </c>
      <c r="B97" s="9" t="s">
        <v>187</v>
      </c>
      <c r="C97" s="2" t="s">
        <v>188</v>
      </c>
      <c r="D97" s="8" t="s">
        <v>42</v>
      </c>
      <c r="E97" s="70">
        <v>722595.5</v>
      </c>
      <c r="F97" s="8" t="s">
        <v>50</v>
      </c>
      <c r="G97" s="70">
        <v>722595.5</v>
      </c>
      <c r="H97" s="186">
        <f t="shared" si="26"/>
        <v>0</v>
      </c>
      <c r="I97" s="70">
        <v>57807.64</v>
      </c>
      <c r="J97" s="70">
        <f t="shared" si="27"/>
        <v>57807.64</v>
      </c>
      <c r="K97" s="70">
        <f t="shared" si="28"/>
        <v>0</v>
      </c>
      <c r="L97" s="70">
        <f t="shared" si="15"/>
        <v>693691.68</v>
      </c>
      <c r="M97" s="8" t="s">
        <v>50</v>
      </c>
      <c r="N97" s="853">
        <v>445995.83333333302</v>
      </c>
      <c r="O97" s="853"/>
      <c r="P97" s="70"/>
      <c r="Q97" s="853">
        <f t="shared" si="18"/>
        <v>0</v>
      </c>
      <c r="R97" s="853">
        <f t="shared" si="19"/>
        <v>0</v>
      </c>
    </row>
    <row r="98" spans="1:18" ht="20.100000000000001" customHeight="1">
      <c r="A98" s="8">
        <v>4</v>
      </c>
      <c r="B98" s="9" t="s">
        <v>189</v>
      </c>
      <c r="C98" s="2" t="s">
        <v>190</v>
      </c>
      <c r="D98" s="13" t="s">
        <v>47</v>
      </c>
      <c r="E98" s="70">
        <v>573911.08333333395</v>
      </c>
      <c r="F98" s="13" t="s">
        <v>191</v>
      </c>
      <c r="G98" s="70">
        <f>'[2]Peculiar Allowance'!$L$42+'[2] FGN 2024 MGT Monthly'!$L$42</f>
        <v>589657</v>
      </c>
      <c r="H98" s="186">
        <f t="shared" si="26"/>
        <v>15745.916666666</v>
      </c>
      <c r="I98" s="70">
        <v>45912.886666666702</v>
      </c>
      <c r="J98" s="70">
        <f t="shared" si="27"/>
        <v>47172.56</v>
      </c>
      <c r="K98" s="70">
        <f t="shared" si="28"/>
        <v>1259.6733333333</v>
      </c>
      <c r="L98" s="70">
        <f t="shared" si="15"/>
        <v>566070.72</v>
      </c>
      <c r="M98" s="13" t="s">
        <v>191</v>
      </c>
      <c r="N98" s="853">
        <v>366417.5</v>
      </c>
      <c r="O98" s="853">
        <f>N98*0.025</f>
        <v>9160.4375</v>
      </c>
      <c r="P98" s="70">
        <v>8926.6666666666806</v>
      </c>
      <c r="Q98" s="853">
        <f t="shared" si="18"/>
        <v>233.77083333331899</v>
      </c>
      <c r="R98" s="853">
        <f t="shared" si="19"/>
        <v>109925.25</v>
      </c>
    </row>
    <row r="99" spans="1:18" ht="20.100000000000001" customHeight="1">
      <c r="A99" s="8">
        <v>5</v>
      </c>
      <c r="B99" s="9" t="s">
        <v>192</v>
      </c>
      <c r="C99" s="10" t="s">
        <v>193</v>
      </c>
      <c r="D99" s="13" t="s">
        <v>67</v>
      </c>
      <c r="E99" s="70">
        <v>482846.58333333401</v>
      </c>
      <c r="F99" s="13" t="s">
        <v>64</v>
      </c>
      <c r="G99" s="70">
        <v>497472.75</v>
      </c>
      <c r="H99" s="186">
        <f t="shared" si="26"/>
        <v>14626.166666666</v>
      </c>
      <c r="I99" s="70">
        <v>38627.726666666698</v>
      </c>
      <c r="J99" s="70">
        <f t="shared" si="27"/>
        <v>39797.82</v>
      </c>
      <c r="K99" s="70">
        <f t="shared" si="28"/>
        <v>1170.0933333333001</v>
      </c>
      <c r="L99" s="70">
        <f t="shared" si="15"/>
        <v>477573.84</v>
      </c>
      <c r="M99" s="13" t="s">
        <v>64</v>
      </c>
      <c r="N99" s="853">
        <v>311673.25</v>
      </c>
      <c r="O99" s="853">
        <f>N99*0.025</f>
        <v>7791.8312500000002</v>
      </c>
      <c r="P99" s="70">
        <v>7574.6854166666699</v>
      </c>
      <c r="Q99" s="853">
        <f t="shared" si="18"/>
        <v>217.14583333332999</v>
      </c>
      <c r="R99" s="853">
        <f t="shared" si="19"/>
        <v>93501.975000000006</v>
      </c>
    </row>
    <row r="100" spans="1:18" ht="20.100000000000001" customHeight="1">
      <c r="A100" s="8">
        <v>6</v>
      </c>
      <c r="B100" s="9" t="s">
        <v>194</v>
      </c>
      <c r="C100" s="2" t="s">
        <v>195</v>
      </c>
      <c r="D100" s="13" t="s">
        <v>67</v>
      </c>
      <c r="E100" s="70">
        <v>482846.58333333302</v>
      </c>
      <c r="F100" s="13" t="s">
        <v>64</v>
      </c>
      <c r="G100" s="70">
        <v>497472.75</v>
      </c>
      <c r="H100" s="186">
        <f t="shared" si="26"/>
        <v>14626.166666667001</v>
      </c>
      <c r="I100" s="70">
        <v>38627.726666666698</v>
      </c>
      <c r="J100" s="70">
        <f t="shared" si="27"/>
        <v>39797.82</v>
      </c>
      <c r="K100" s="70">
        <f t="shared" si="28"/>
        <v>1170.0933333333001</v>
      </c>
      <c r="L100" s="70">
        <f t="shared" si="15"/>
        <v>477573.84</v>
      </c>
      <c r="M100" s="13" t="s">
        <v>64</v>
      </c>
      <c r="N100" s="853">
        <v>311673.25</v>
      </c>
      <c r="O100" s="853"/>
      <c r="P100" s="70"/>
      <c r="Q100" s="853">
        <f t="shared" si="18"/>
        <v>0</v>
      </c>
      <c r="R100" s="853">
        <f t="shared" si="19"/>
        <v>0</v>
      </c>
    </row>
    <row r="101" spans="1:18" ht="20.100000000000001" customHeight="1">
      <c r="A101" s="8">
        <v>7</v>
      </c>
      <c r="B101" s="9" t="s">
        <v>196</v>
      </c>
      <c r="C101" s="2" t="s">
        <v>197</v>
      </c>
      <c r="D101" s="8" t="s">
        <v>131</v>
      </c>
      <c r="E101" s="70">
        <v>454993.58333333302</v>
      </c>
      <c r="F101" s="8" t="s">
        <v>70</v>
      </c>
      <c r="G101" s="70">
        <v>468828.16666666698</v>
      </c>
      <c r="H101" s="186">
        <f t="shared" si="26"/>
        <v>13834.583333334</v>
      </c>
      <c r="I101" s="70">
        <v>36399.486666666598</v>
      </c>
      <c r="J101" s="70">
        <f t="shared" si="27"/>
        <v>37506.253333333399</v>
      </c>
      <c r="K101" s="70">
        <f t="shared" si="28"/>
        <v>1106.7666666667601</v>
      </c>
      <c r="L101" s="70">
        <f t="shared" si="15"/>
        <v>450075.04</v>
      </c>
      <c r="M101" s="8" t="s">
        <v>70</v>
      </c>
      <c r="N101" s="853">
        <v>294662.91666666698</v>
      </c>
      <c r="O101" s="853">
        <f>N101*0.025</f>
        <v>7366.5729166666797</v>
      </c>
      <c r="P101" s="70">
        <v>7161.1770833333303</v>
      </c>
      <c r="Q101" s="853">
        <f t="shared" si="18"/>
        <v>205.395833333345</v>
      </c>
      <c r="R101" s="853">
        <f t="shared" si="19"/>
        <v>88398.875000000102</v>
      </c>
    </row>
    <row r="102" spans="1:18" ht="20.100000000000001" customHeight="1">
      <c r="A102" s="8">
        <v>8</v>
      </c>
      <c r="B102" s="9" t="s">
        <v>198</v>
      </c>
      <c r="C102" s="2" t="s">
        <v>199</v>
      </c>
      <c r="D102" s="8" t="s">
        <v>81</v>
      </c>
      <c r="E102" s="70">
        <v>372145.33333333302</v>
      </c>
      <c r="F102" s="8" t="s">
        <v>75</v>
      </c>
      <c r="G102" s="70">
        <v>381140.66666666599</v>
      </c>
      <c r="H102" s="186">
        <f t="shared" si="26"/>
        <v>8995.3333333329592</v>
      </c>
      <c r="I102" s="70">
        <v>29771.6266666667</v>
      </c>
      <c r="J102" s="70">
        <f t="shared" si="27"/>
        <v>30491.253333333301</v>
      </c>
      <c r="K102" s="70">
        <f t="shared" si="28"/>
        <v>719.62666666658004</v>
      </c>
      <c r="L102" s="70">
        <f t="shared" si="15"/>
        <v>365895.03999999899</v>
      </c>
      <c r="M102" s="8" t="s">
        <v>75</v>
      </c>
      <c r="N102" s="853">
        <v>240874.58333333299</v>
      </c>
      <c r="O102" s="853"/>
      <c r="P102" s="70"/>
      <c r="Q102" s="853">
        <f t="shared" si="18"/>
        <v>0</v>
      </c>
      <c r="R102" s="853">
        <f t="shared" si="19"/>
        <v>0</v>
      </c>
    </row>
    <row r="103" spans="1:18" ht="20.100000000000001" customHeight="1">
      <c r="A103" s="8">
        <v>9</v>
      </c>
      <c r="B103" s="9" t="s">
        <v>200</v>
      </c>
      <c r="C103" s="2" t="s">
        <v>181</v>
      </c>
      <c r="D103" s="8" t="s">
        <v>99</v>
      </c>
      <c r="E103" s="70">
        <v>347016.16666666599</v>
      </c>
      <c r="F103" s="8" t="s">
        <v>86</v>
      </c>
      <c r="G103" s="70">
        <v>347016.16666666599</v>
      </c>
      <c r="H103" s="186">
        <f t="shared" si="26"/>
        <v>0</v>
      </c>
      <c r="I103" s="70">
        <v>27761.293333333299</v>
      </c>
      <c r="J103" s="70">
        <f t="shared" si="27"/>
        <v>27761.293333333299</v>
      </c>
      <c r="K103" s="70">
        <f t="shared" si="28"/>
        <v>0</v>
      </c>
      <c r="L103" s="70">
        <f t="shared" si="15"/>
        <v>333135.51999999903</v>
      </c>
      <c r="M103" s="8" t="s">
        <v>86</v>
      </c>
      <c r="N103" s="853">
        <v>222674.58333333299</v>
      </c>
      <c r="O103" s="853">
        <f>N103*0.025</f>
        <v>5566.8645833333203</v>
      </c>
      <c r="P103" s="70">
        <v>5566.8645833333203</v>
      </c>
      <c r="Q103" s="853">
        <f t="shared" si="18"/>
        <v>0</v>
      </c>
      <c r="R103" s="853">
        <f t="shared" si="19"/>
        <v>66802.374999999898</v>
      </c>
    </row>
    <row r="104" spans="1:18" ht="18.75" customHeight="1">
      <c r="A104" s="8">
        <v>10</v>
      </c>
      <c r="B104" s="16" t="s">
        <v>201</v>
      </c>
      <c r="C104" s="2" t="s">
        <v>181</v>
      </c>
      <c r="D104" s="8" t="s">
        <v>225</v>
      </c>
      <c r="E104" s="70">
        <v>330407.08333333302</v>
      </c>
      <c r="F104" s="8" t="s">
        <v>99</v>
      </c>
      <c r="G104" s="70">
        <v>338711.66666666698</v>
      </c>
      <c r="H104" s="186">
        <f t="shared" si="26"/>
        <v>8304.5833333339506</v>
      </c>
      <c r="I104" s="70">
        <v>26432.566666666698</v>
      </c>
      <c r="J104" s="70">
        <f t="shared" si="27"/>
        <v>27096.9333333334</v>
      </c>
      <c r="K104" s="70">
        <f t="shared" si="28"/>
        <v>664.36666666666099</v>
      </c>
      <c r="L104" s="70">
        <f t="shared" si="15"/>
        <v>325163.2</v>
      </c>
      <c r="M104" s="8" t="s">
        <v>99</v>
      </c>
      <c r="N104" s="853">
        <v>217733.41666666701</v>
      </c>
      <c r="O104" s="853"/>
      <c r="P104" s="70"/>
      <c r="Q104" s="853">
        <f t="shared" si="18"/>
        <v>0</v>
      </c>
      <c r="R104" s="853">
        <f t="shared" si="19"/>
        <v>0</v>
      </c>
    </row>
    <row r="105" spans="1:18" ht="20.100000000000001" customHeight="1">
      <c r="A105" s="8">
        <v>11</v>
      </c>
      <c r="B105" s="9" t="s">
        <v>202</v>
      </c>
      <c r="C105" s="2" t="s">
        <v>203</v>
      </c>
      <c r="D105" s="8" t="s">
        <v>108</v>
      </c>
      <c r="E105" s="70">
        <v>301910.75</v>
      </c>
      <c r="F105" s="8" t="s">
        <v>105</v>
      </c>
      <c r="G105" s="70">
        <v>308920.66666666698</v>
      </c>
      <c r="H105" s="186">
        <f t="shared" si="26"/>
        <v>7009.9166666669798</v>
      </c>
      <c r="I105" s="70">
        <v>24152.86</v>
      </c>
      <c r="J105" s="70">
        <f t="shared" si="27"/>
        <v>24713.653333333401</v>
      </c>
      <c r="K105" s="70">
        <f t="shared" si="28"/>
        <v>560.79333333335705</v>
      </c>
      <c r="L105" s="70">
        <f t="shared" si="15"/>
        <v>296563.84000000003</v>
      </c>
      <c r="M105" s="8" t="s">
        <v>105</v>
      </c>
      <c r="N105" s="853">
        <v>200549.41666666701</v>
      </c>
      <c r="O105" s="853"/>
      <c r="P105" s="70">
        <v>0</v>
      </c>
      <c r="Q105" s="853">
        <f t="shared" si="18"/>
        <v>0</v>
      </c>
      <c r="R105" s="853">
        <f t="shared" si="19"/>
        <v>0</v>
      </c>
    </row>
    <row r="106" spans="1:18" ht="20.100000000000001" customHeight="1">
      <c r="A106" s="8"/>
      <c r="B106" s="18" t="s">
        <v>120</v>
      </c>
      <c r="C106" s="19">
        <v>11</v>
      </c>
      <c r="D106" s="19"/>
      <c r="E106" s="78">
        <f t="shared" ref="E106:K106" si="29">SUM(E95:E105)</f>
        <v>6538374.5833333302</v>
      </c>
      <c r="F106" s="78"/>
      <c r="G106" s="78">
        <f t="shared" si="29"/>
        <v>6621517.2499999898</v>
      </c>
      <c r="H106" s="78">
        <f t="shared" si="29"/>
        <v>83142.666666666904</v>
      </c>
      <c r="I106" s="78">
        <f t="shared" si="29"/>
        <v>523069.96666666598</v>
      </c>
      <c r="J106" s="78">
        <f t="shared" si="29"/>
        <v>529721.38</v>
      </c>
      <c r="K106" s="78">
        <f t="shared" si="29"/>
        <v>6651.4133333332502</v>
      </c>
      <c r="L106" s="78">
        <f t="shared" ref="L106:R106" si="30">SUM(L95:L105)</f>
        <v>6356656.5599999903</v>
      </c>
      <c r="M106" s="78">
        <f t="shared" si="30"/>
        <v>0</v>
      </c>
      <c r="N106" s="78">
        <f t="shared" si="30"/>
        <v>4145027.66666666</v>
      </c>
      <c r="O106" s="78">
        <f t="shared" si="30"/>
        <v>29885.706249999999</v>
      </c>
      <c r="P106" s="78">
        <f t="shared" si="30"/>
        <v>29229.393749999999</v>
      </c>
      <c r="Q106" s="78">
        <f t="shared" si="30"/>
        <v>656.312499999995</v>
      </c>
      <c r="R106" s="78">
        <f t="shared" si="30"/>
        <v>358628.47499999998</v>
      </c>
    </row>
    <row r="107" spans="1:18" ht="20.100000000000001" customHeight="1">
      <c r="A107" s="8"/>
      <c r="B107" s="18"/>
      <c r="C107" s="19"/>
      <c r="D107" s="19"/>
      <c r="E107" s="122"/>
      <c r="F107" s="122"/>
      <c r="G107" s="122"/>
      <c r="H107" s="186"/>
      <c r="I107" s="122"/>
      <c r="J107" s="122"/>
      <c r="K107" s="122"/>
      <c r="L107" s="70"/>
      <c r="M107" s="122"/>
      <c r="N107" s="122"/>
      <c r="O107" s="853"/>
      <c r="P107" s="122"/>
      <c r="Q107" s="853">
        <f t="shared" si="18"/>
        <v>0</v>
      </c>
      <c r="R107" s="853"/>
    </row>
    <row r="108" spans="1:18" ht="20.100000000000001" customHeight="1">
      <c r="A108" s="8"/>
      <c r="B108" s="18" t="s">
        <v>204</v>
      </c>
      <c r="C108" s="23"/>
      <c r="D108" s="19"/>
      <c r="E108" s="122"/>
      <c r="F108" s="122"/>
      <c r="G108" s="122"/>
      <c r="H108" s="186"/>
      <c r="I108" s="122"/>
      <c r="J108" s="122"/>
      <c r="K108" s="122"/>
      <c r="L108" s="70"/>
      <c r="M108" s="122"/>
      <c r="N108" s="122"/>
      <c r="O108" s="853"/>
      <c r="P108" s="122"/>
      <c r="Q108" s="853">
        <f t="shared" si="18"/>
        <v>0</v>
      </c>
      <c r="R108" s="853"/>
    </row>
    <row r="109" spans="1:18" ht="20.100000000000001" customHeight="1">
      <c r="A109" s="8">
        <v>1</v>
      </c>
      <c r="B109" s="9" t="s">
        <v>205</v>
      </c>
      <c r="C109" s="2" t="s">
        <v>206</v>
      </c>
      <c r="D109" s="8" t="s">
        <v>577</v>
      </c>
      <c r="E109" s="70">
        <v>1647612</v>
      </c>
      <c r="F109" s="8" t="s">
        <v>140</v>
      </c>
      <c r="G109" s="70">
        <v>1697359.33333333</v>
      </c>
      <c r="H109" s="186">
        <f>G109-E109</f>
        <v>49747.333333330003</v>
      </c>
      <c r="I109" s="70">
        <v>131808.95999999999</v>
      </c>
      <c r="J109" s="70">
        <f>G109*0.08</f>
        <v>135788.746666666</v>
      </c>
      <c r="K109" s="70">
        <f>J109-I109</f>
        <v>3979.7866666664199</v>
      </c>
      <c r="L109" s="70">
        <f t="shared" si="15"/>
        <v>1629464.96</v>
      </c>
      <c r="M109" s="8" t="s">
        <v>140</v>
      </c>
      <c r="N109" s="853">
        <v>1056272.83333333</v>
      </c>
      <c r="O109" s="853">
        <f>N109*0.025</f>
        <v>26406.820833333299</v>
      </c>
      <c r="P109" s="70">
        <v>25644.208333333299</v>
      </c>
      <c r="Q109" s="853">
        <f t="shared" si="18"/>
        <v>762.61249999995198</v>
      </c>
      <c r="R109" s="853">
        <f t="shared" si="19"/>
        <v>316881.84999999899</v>
      </c>
    </row>
    <row r="110" spans="1:18" ht="20.100000000000001" customHeight="1">
      <c r="A110" s="8">
        <v>2</v>
      </c>
      <c r="B110" s="9" t="s">
        <v>207</v>
      </c>
      <c r="C110" s="2" t="s">
        <v>208</v>
      </c>
      <c r="D110" s="8" t="s">
        <v>578</v>
      </c>
      <c r="E110" s="70">
        <v>852711.08333333302</v>
      </c>
      <c r="F110" s="8" t="s">
        <v>209</v>
      </c>
      <c r="G110" s="70">
        <v>879008.91666666698</v>
      </c>
      <c r="H110" s="186">
        <f t="shared" ref="H110:H121" si="31">G110-E110</f>
        <v>26297.833333334002</v>
      </c>
      <c r="I110" s="70">
        <v>68216.8866666666</v>
      </c>
      <c r="J110" s="70">
        <f t="shared" ref="J110:J121" si="32">G110*0.08</f>
        <v>70320.713333333406</v>
      </c>
      <c r="K110" s="70">
        <f t="shared" ref="K110:K121" si="33">J110-I110</f>
        <v>2103.82666666676</v>
      </c>
      <c r="L110" s="70">
        <f t="shared" si="15"/>
        <v>843848.56</v>
      </c>
      <c r="M110" s="8" t="s">
        <v>209</v>
      </c>
      <c r="N110" s="853">
        <f>'[3] FGN 2024 MGT Monthly'!$I$44</f>
        <v>539028</v>
      </c>
      <c r="O110" s="853"/>
      <c r="P110" s="70"/>
      <c r="Q110" s="853">
        <f t="shared" si="18"/>
        <v>0</v>
      </c>
      <c r="R110" s="853">
        <f t="shared" si="19"/>
        <v>0</v>
      </c>
    </row>
    <row r="111" spans="1:18" ht="20.100000000000001" customHeight="1">
      <c r="A111" s="8">
        <v>3</v>
      </c>
      <c r="B111" s="9" t="s">
        <v>210</v>
      </c>
      <c r="C111" s="2" t="s">
        <v>142</v>
      </c>
      <c r="D111" s="8" t="s">
        <v>50</v>
      </c>
      <c r="E111" s="70">
        <v>722595.5</v>
      </c>
      <c r="F111" s="8" t="s">
        <v>39</v>
      </c>
      <c r="G111" s="70">
        <v>744477</v>
      </c>
      <c r="H111" s="186">
        <f t="shared" si="31"/>
        <v>21881.5</v>
      </c>
      <c r="I111" s="70">
        <v>57807.64</v>
      </c>
      <c r="J111" s="70">
        <f t="shared" si="32"/>
        <v>59558.16</v>
      </c>
      <c r="K111" s="70">
        <f t="shared" si="33"/>
        <v>1750.52</v>
      </c>
      <c r="L111" s="70">
        <f t="shared" si="15"/>
        <v>714697.92</v>
      </c>
      <c r="M111" s="8" t="s">
        <v>39</v>
      </c>
      <c r="N111" s="853">
        <v>459010.5</v>
      </c>
      <c r="O111" s="853"/>
      <c r="P111" s="70"/>
      <c r="Q111" s="853">
        <f t="shared" si="18"/>
        <v>0</v>
      </c>
      <c r="R111" s="853">
        <f t="shared" si="19"/>
        <v>0</v>
      </c>
    </row>
    <row r="112" spans="1:18" ht="21.6" customHeight="1">
      <c r="A112" s="8">
        <v>4</v>
      </c>
      <c r="B112" s="9" t="s">
        <v>211</v>
      </c>
      <c r="C112" s="2" t="s">
        <v>52</v>
      </c>
      <c r="D112" s="13" t="s">
        <v>214</v>
      </c>
      <c r="E112" s="70">
        <v>558165.25</v>
      </c>
      <c r="F112" s="13" t="s">
        <v>47</v>
      </c>
      <c r="G112" s="70">
        <v>573911.08333333395</v>
      </c>
      <c r="H112" s="186">
        <f t="shared" si="31"/>
        <v>15745.833333334</v>
      </c>
      <c r="I112" s="70">
        <v>44653.22</v>
      </c>
      <c r="J112" s="70">
        <f t="shared" si="32"/>
        <v>45912.886666666702</v>
      </c>
      <c r="K112" s="70">
        <f t="shared" si="33"/>
        <v>1259.6666666667199</v>
      </c>
      <c r="L112" s="70">
        <f t="shared" si="15"/>
        <v>550954.64000000095</v>
      </c>
      <c r="M112" s="13" t="s">
        <v>47</v>
      </c>
      <c r="N112" s="853">
        <v>357066.66666666698</v>
      </c>
      <c r="O112" s="853">
        <f>N112*0.025</f>
        <v>8926.6666666666806</v>
      </c>
      <c r="P112" s="70">
        <v>8692.9229166666701</v>
      </c>
      <c r="Q112" s="853">
        <f t="shared" si="18"/>
        <v>233.74375000000501</v>
      </c>
      <c r="R112" s="853">
        <f t="shared" si="19"/>
        <v>107120</v>
      </c>
    </row>
    <row r="113" spans="1:18" ht="21.6" customHeight="1">
      <c r="A113" s="8">
        <v>5</v>
      </c>
      <c r="B113" s="9" t="s">
        <v>212</v>
      </c>
      <c r="C113" s="2" t="s">
        <v>52</v>
      </c>
      <c r="D113" s="13" t="s">
        <v>214</v>
      </c>
      <c r="E113" s="70">
        <v>558166.25</v>
      </c>
      <c r="F113" s="13" t="s">
        <v>47</v>
      </c>
      <c r="G113" s="70">
        <v>573911.08333333395</v>
      </c>
      <c r="H113" s="186">
        <f t="shared" si="31"/>
        <v>15744.833333334</v>
      </c>
      <c r="I113" s="70">
        <v>44653.3</v>
      </c>
      <c r="J113" s="70">
        <f t="shared" si="32"/>
        <v>45912.886666666702</v>
      </c>
      <c r="K113" s="70">
        <f t="shared" si="33"/>
        <v>1259.58666666671</v>
      </c>
      <c r="L113" s="70">
        <f t="shared" si="15"/>
        <v>550954.64000000095</v>
      </c>
      <c r="M113" s="13" t="s">
        <v>47</v>
      </c>
      <c r="N113" s="853">
        <v>357066.66666666698</v>
      </c>
      <c r="O113" s="853">
        <f>N113*0.025</f>
        <v>8926.6666666666806</v>
      </c>
      <c r="P113" s="70">
        <v>8692.9229166666701</v>
      </c>
      <c r="Q113" s="853">
        <f t="shared" si="18"/>
        <v>233.74375000000501</v>
      </c>
      <c r="R113" s="853">
        <f t="shared" si="19"/>
        <v>107120</v>
      </c>
    </row>
    <row r="114" spans="1:18" ht="21.6" customHeight="1">
      <c r="A114" s="8">
        <v>6</v>
      </c>
      <c r="B114" s="9" t="s">
        <v>213</v>
      </c>
      <c r="C114" s="10" t="s">
        <v>52</v>
      </c>
      <c r="D114" s="13" t="s">
        <v>53</v>
      </c>
      <c r="E114" s="70">
        <v>542419.5</v>
      </c>
      <c r="F114" s="13" t="s">
        <v>214</v>
      </c>
      <c r="G114" s="70">
        <v>558166.25</v>
      </c>
      <c r="H114" s="186">
        <f t="shared" si="31"/>
        <v>15746.75</v>
      </c>
      <c r="I114" s="70">
        <v>43393.56</v>
      </c>
      <c r="J114" s="70">
        <f t="shared" si="32"/>
        <v>44653.3</v>
      </c>
      <c r="K114" s="70">
        <f t="shared" si="33"/>
        <v>1259.74000000001</v>
      </c>
      <c r="L114" s="70">
        <f t="shared" si="15"/>
        <v>535839.6</v>
      </c>
      <c r="M114" s="13" t="s">
        <v>214</v>
      </c>
      <c r="N114" s="853">
        <v>347715.91666666698</v>
      </c>
      <c r="O114" s="853"/>
      <c r="P114" s="70"/>
      <c r="Q114" s="853">
        <f t="shared" si="18"/>
        <v>0</v>
      </c>
      <c r="R114" s="853">
        <f t="shared" si="19"/>
        <v>0</v>
      </c>
    </row>
    <row r="115" spans="1:18" ht="21.6" customHeight="1">
      <c r="A115" s="8">
        <v>7</v>
      </c>
      <c r="B115" s="9" t="s">
        <v>215</v>
      </c>
      <c r="C115" s="15" t="s">
        <v>72</v>
      </c>
      <c r="D115" s="13" t="s">
        <v>70</v>
      </c>
      <c r="E115" s="70">
        <v>468828.16666666698</v>
      </c>
      <c r="F115" s="13" t="s">
        <v>172</v>
      </c>
      <c r="G115" s="70">
        <v>482662.66666666698</v>
      </c>
      <c r="H115" s="186">
        <f t="shared" si="31"/>
        <v>13834.5</v>
      </c>
      <c r="I115" s="70">
        <v>37506.253333333399</v>
      </c>
      <c r="J115" s="70">
        <f t="shared" si="32"/>
        <v>38613.013333333402</v>
      </c>
      <c r="K115" s="70">
        <f t="shared" si="33"/>
        <v>1106.75999999996</v>
      </c>
      <c r="L115" s="70">
        <f t="shared" si="15"/>
        <v>463356.15999999997</v>
      </c>
      <c r="M115" s="13" t="s">
        <v>172</v>
      </c>
      <c r="N115" s="853">
        <v>302878.66666666698</v>
      </c>
      <c r="O115" s="853"/>
      <c r="P115" s="70"/>
      <c r="Q115" s="853">
        <f t="shared" si="18"/>
        <v>0</v>
      </c>
      <c r="R115" s="853">
        <f t="shared" si="19"/>
        <v>0</v>
      </c>
    </row>
    <row r="116" spans="1:18" ht="21.6" customHeight="1">
      <c r="A116" s="8">
        <v>8</v>
      </c>
      <c r="B116" s="9" t="s">
        <v>216</v>
      </c>
      <c r="C116" s="15" t="s">
        <v>217</v>
      </c>
      <c r="D116" s="13" t="s">
        <v>64</v>
      </c>
      <c r="E116" s="70">
        <v>497472.75</v>
      </c>
      <c r="F116" s="13" t="s">
        <v>218</v>
      </c>
      <c r="G116" s="70">
        <f>'[2] FGN 2024 MGT Monthly'!$J$41+'[2]Peculiar Allowance'!$J$41</f>
        <v>512098.91666666698</v>
      </c>
      <c r="H116" s="186">
        <f t="shared" si="31"/>
        <v>14626.166666666601</v>
      </c>
      <c r="I116" s="70">
        <v>39797.82</v>
      </c>
      <c r="J116" s="70">
        <f t="shared" si="32"/>
        <v>40967.913333333301</v>
      </c>
      <c r="K116" s="70">
        <f t="shared" si="33"/>
        <v>1170.0933333333301</v>
      </c>
      <c r="L116" s="70">
        <f t="shared" si="15"/>
        <v>491614.96</v>
      </c>
      <c r="M116" s="13" t="s">
        <v>218</v>
      </c>
      <c r="N116" s="70">
        <f>'[2] FGN 2024 MGT Monthly'!$J$41</f>
        <v>320359.08333333302</v>
      </c>
      <c r="O116" s="853">
        <f>N116*0.025</f>
        <v>8008.9770833333296</v>
      </c>
      <c r="P116" s="70">
        <v>7791.8312500000002</v>
      </c>
      <c r="Q116" s="853">
        <f t="shared" si="18"/>
        <v>217.145833333333</v>
      </c>
      <c r="R116" s="853">
        <f t="shared" si="19"/>
        <v>96107.725000000006</v>
      </c>
    </row>
    <row r="117" spans="1:18" ht="20.100000000000001" customHeight="1">
      <c r="A117" s="8">
        <v>9</v>
      </c>
      <c r="B117" s="16" t="s">
        <v>219</v>
      </c>
      <c r="C117" s="2" t="s">
        <v>148</v>
      </c>
      <c r="D117" s="13" t="s">
        <v>179</v>
      </c>
      <c r="E117" s="186">
        <v>441159</v>
      </c>
      <c r="F117" s="13" t="s">
        <v>131</v>
      </c>
      <c r="G117" s="70">
        <v>454993.58333333302</v>
      </c>
      <c r="H117" s="186">
        <f t="shared" si="31"/>
        <v>13834.583333332999</v>
      </c>
      <c r="I117" s="70">
        <v>35292.720000000001</v>
      </c>
      <c r="J117" s="70">
        <f t="shared" si="32"/>
        <v>36399.486666666598</v>
      </c>
      <c r="K117" s="70">
        <f t="shared" si="33"/>
        <v>1106.76666666664</v>
      </c>
      <c r="L117" s="70">
        <f t="shared" si="15"/>
        <v>436793.84</v>
      </c>
      <c r="M117" s="13" t="s">
        <v>131</v>
      </c>
      <c r="N117" s="853">
        <v>286447.08333333302</v>
      </c>
      <c r="O117" s="853"/>
      <c r="P117" s="70"/>
      <c r="Q117" s="853">
        <f t="shared" si="18"/>
        <v>0</v>
      </c>
      <c r="R117" s="853">
        <f t="shared" si="19"/>
        <v>0</v>
      </c>
    </row>
    <row r="118" spans="1:18" ht="21.6" customHeight="1">
      <c r="A118" s="8">
        <v>10</v>
      </c>
      <c r="B118" s="9" t="s">
        <v>220</v>
      </c>
      <c r="C118" s="2" t="s">
        <v>221</v>
      </c>
      <c r="D118" s="8" t="s">
        <v>78</v>
      </c>
      <c r="E118" s="186">
        <v>390135.83333333401</v>
      </c>
      <c r="F118" s="8" t="s">
        <v>151</v>
      </c>
      <c r="G118" s="70">
        <v>399131.16666666698</v>
      </c>
      <c r="H118" s="186">
        <f t="shared" si="31"/>
        <v>8995.3333333329592</v>
      </c>
      <c r="I118" s="70">
        <v>31210.866666666701</v>
      </c>
      <c r="J118" s="70">
        <f t="shared" si="32"/>
        <v>31930.493333333401</v>
      </c>
      <c r="K118" s="70">
        <f t="shared" si="33"/>
        <v>719.62666666665598</v>
      </c>
      <c r="L118" s="70">
        <f t="shared" si="15"/>
        <v>383165.92</v>
      </c>
      <c r="M118" s="8" t="s">
        <v>151</v>
      </c>
      <c r="N118" s="853">
        <v>251467.91666666701</v>
      </c>
      <c r="O118" s="853"/>
      <c r="P118" s="70"/>
      <c r="Q118" s="853">
        <f t="shared" si="18"/>
        <v>0</v>
      </c>
      <c r="R118" s="853">
        <f t="shared" si="19"/>
        <v>0</v>
      </c>
    </row>
    <row r="119" spans="1:18" ht="18.75" customHeight="1">
      <c r="A119" s="8">
        <v>11</v>
      </c>
      <c r="B119" s="16" t="s">
        <v>222</v>
      </c>
      <c r="C119" s="2" t="s">
        <v>150</v>
      </c>
      <c r="D119" s="8" t="s">
        <v>225</v>
      </c>
      <c r="E119" s="70">
        <v>330407.08333333302</v>
      </c>
      <c r="F119" s="8" t="s">
        <v>99</v>
      </c>
      <c r="G119" s="70">
        <v>338711.66666666698</v>
      </c>
      <c r="H119" s="186">
        <f t="shared" si="31"/>
        <v>8304.5833333339506</v>
      </c>
      <c r="I119" s="70">
        <v>26432.566666666698</v>
      </c>
      <c r="J119" s="70">
        <f t="shared" si="32"/>
        <v>27096.9333333334</v>
      </c>
      <c r="K119" s="70">
        <f t="shared" si="33"/>
        <v>664.36666666666099</v>
      </c>
      <c r="L119" s="70">
        <f t="shared" si="15"/>
        <v>325163.2</v>
      </c>
      <c r="M119" s="8" t="s">
        <v>99</v>
      </c>
      <c r="N119" s="853">
        <v>217733.41666666701</v>
      </c>
      <c r="O119" s="853"/>
      <c r="P119" s="70"/>
      <c r="Q119" s="853">
        <f t="shared" si="18"/>
        <v>0</v>
      </c>
      <c r="R119" s="853">
        <f t="shared" si="19"/>
        <v>0</v>
      </c>
    </row>
    <row r="120" spans="1:18" ht="18.75" customHeight="1">
      <c r="A120" s="8">
        <v>12</v>
      </c>
      <c r="B120" s="16" t="s">
        <v>223</v>
      </c>
      <c r="C120" s="2" t="s">
        <v>150</v>
      </c>
      <c r="D120" s="8" t="s">
        <v>225</v>
      </c>
      <c r="E120" s="70">
        <v>330407.08333333302</v>
      </c>
      <c r="F120" s="8" t="s">
        <v>99</v>
      </c>
      <c r="G120" s="70">
        <v>338711.66666666698</v>
      </c>
      <c r="H120" s="186">
        <f t="shared" si="31"/>
        <v>8304.5833333339506</v>
      </c>
      <c r="I120" s="70">
        <v>26432.566666666698</v>
      </c>
      <c r="J120" s="70">
        <f t="shared" si="32"/>
        <v>27096.9333333334</v>
      </c>
      <c r="K120" s="70">
        <f t="shared" si="33"/>
        <v>664.36666666666099</v>
      </c>
      <c r="L120" s="70">
        <f t="shared" si="15"/>
        <v>325163.2</v>
      </c>
      <c r="M120" s="8" t="s">
        <v>99</v>
      </c>
      <c r="N120" s="853">
        <v>217733.41666666701</v>
      </c>
      <c r="O120" s="853"/>
      <c r="P120" s="70"/>
      <c r="Q120" s="853">
        <f t="shared" si="18"/>
        <v>0</v>
      </c>
      <c r="R120" s="853">
        <f t="shared" si="19"/>
        <v>0</v>
      </c>
    </row>
    <row r="121" spans="1:18" ht="21.6" customHeight="1">
      <c r="A121" s="8">
        <v>13</v>
      </c>
      <c r="B121" s="9" t="s">
        <v>224</v>
      </c>
      <c r="C121" s="15" t="s">
        <v>554</v>
      </c>
      <c r="D121" s="13" t="s">
        <v>105</v>
      </c>
      <c r="E121" s="186">
        <v>308920.66666666698</v>
      </c>
      <c r="F121" s="13" t="s">
        <v>517</v>
      </c>
      <c r="G121" s="186">
        <f>'[2] FGN 2024 MGT Monthly'!$L$37+'[2]Peculiar Allowance'!$L$37</f>
        <v>315930.58333333302</v>
      </c>
      <c r="H121" s="186">
        <f t="shared" si="31"/>
        <v>7009.9166666663396</v>
      </c>
      <c r="I121" s="70">
        <v>24713.653333333401</v>
      </c>
      <c r="J121" s="70">
        <f t="shared" si="32"/>
        <v>25274.446666666699</v>
      </c>
      <c r="K121" s="70">
        <f t="shared" si="33"/>
        <v>560.79333333326599</v>
      </c>
      <c r="L121" s="70">
        <f t="shared" si="15"/>
        <v>303293.36</v>
      </c>
      <c r="M121" s="13" t="s">
        <v>517</v>
      </c>
      <c r="N121" s="186">
        <f>'[2] FGN 2024 MGT Monthly'!$L$37</f>
        <v>204734.41666666701</v>
      </c>
      <c r="O121" s="853">
        <f>N121*0.025</f>
        <v>5118.3604166666701</v>
      </c>
      <c r="P121" s="70">
        <v>5013.7354166666801</v>
      </c>
      <c r="Q121" s="853">
        <f t="shared" si="18"/>
        <v>104.624999999986</v>
      </c>
      <c r="R121" s="853">
        <f t="shared" si="19"/>
        <v>61420.324999999997</v>
      </c>
    </row>
    <row r="122" spans="1:18" ht="20.100000000000001" customHeight="1">
      <c r="A122" s="8"/>
      <c r="B122" s="18" t="s">
        <v>120</v>
      </c>
      <c r="C122" s="19">
        <v>13</v>
      </c>
      <c r="D122" s="19"/>
      <c r="E122" s="78">
        <f t="shared" ref="E122:K122" si="34">SUM(E109:E121)</f>
        <v>7649000.1666666698</v>
      </c>
      <c r="F122" s="78"/>
      <c r="G122" s="78">
        <f t="shared" si="34"/>
        <v>7869073.9166666698</v>
      </c>
      <c r="H122" s="78">
        <f t="shared" si="34"/>
        <v>220073.74999999901</v>
      </c>
      <c r="I122" s="78">
        <f t="shared" si="34"/>
        <v>611920.01333333296</v>
      </c>
      <c r="J122" s="78">
        <f t="shared" si="34"/>
        <v>629525.91333333298</v>
      </c>
      <c r="K122" s="78">
        <f t="shared" si="34"/>
        <v>17605.899999999801</v>
      </c>
      <c r="L122" s="78">
        <f t="shared" ref="L122:R122" si="35">SUM(L109:L121)</f>
        <v>7554310.96</v>
      </c>
      <c r="M122" s="78">
        <f t="shared" si="35"/>
        <v>0</v>
      </c>
      <c r="N122" s="78">
        <f t="shared" si="35"/>
        <v>4917514.5833333321</v>
      </c>
      <c r="O122" s="78">
        <f t="shared" si="35"/>
        <v>57387.491666666698</v>
      </c>
      <c r="P122" s="78">
        <f t="shared" si="35"/>
        <v>55835.620833333298</v>
      </c>
      <c r="Q122" s="78">
        <f t="shared" si="35"/>
        <v>1551.87083333328</v>
      </c>
      <c r="R122" s="78">
        <f t="shared" si="35"/>
        <v>688649.89999999898</v>
      </c>
    </row>
    <row r="123" spans="1:18" ht="20.100000000000001" customHeight="1">
      <c r="A123" s="8"/>
      <c r="B123" s="20"/>
      <c r="C123" s="19"/>
      <c r="D123" s="19"/>
      <c r="E123" s="122"/>
      <c r="F123" s="122"/>
      <c r="G123" s="122"/>
      <c r="H123" s="186"/>
      <c r="I123" s="122"/>
      <c r="J123" s="122"/>
      <c r="K123" s="122"/>
      <c r="L123" s="70"/>
      <c r="M123" s="122"/>
      <c r="N123" s="122"/>
      <c r="O123" s="853"/>
      <c r="P123" s="122"/>
      <c r="Q123" s="853">
        <f t="shared" si="18"/>
        <v>0</v>
      </c>
      <c r="R123" s="853"/>
    </row>
    <row r="124" spans="1:18" ht="20.100000000000001" customHeight="1">
      <c r="A124" s="8"/>
      <c r="B124" s="18" t="s">
        <v>226</v>
      </c>
      <c r="C124" s="19"/>
      <c r="D124" s="19"/>
      <c r="E124" s="122"/>
      <c r="F124" s="122"/>
      <c r="G124" s="122"/>
      <c r="H124" s="186"/>
      <c r="I124" s="122"/>
      <c r="J124" s="122"/>
      <c r="K124" s="122"/>
      <c r="L124" s="70"/>
      <c r="M124" s="122"/>
      <c r="N124" s="122"/>
      <c r="O124" s="853"/>
      <c r="P124" s="122"/>
      <c r="Q124" s="853">
        <f t="shared" si="18"/>
        <v>0</v>
      </c>
      <c r="R124" s="853"/>
    </row>
    <row r="125" spans="1:18" ht="20.100000000000001" customHeight="1">
      <c r="A125" s="8">
        <v>1</v>
      </c>
      <c r="B125" s="12" t="s">
        <v>227</v>
      </c>
      <c r="C125" s="2" t="s">
        <v>228</v>
      </c>
      <c r="D125" s="14" t="s">
        <v>140</v>
      </c>
      <c r="E125" s="70">
        <v>1697359.33333333</v>
      </c>
      <c r="F125" s="14" t="s">
        <v>124</v>
      </c>
      <c r="G125" s="70">
        <v>1747106.41666666</v>
      </c>
      <c r="H125" s="186">
        <f>G125-E125</f>
        <v>49747.083333330003</v>
      </c>
      <c r="I125" s="70">
        <v>135788.746666666</v>
      </c>
      <c r="J125" s="70">
        <f>G125*0.08</f>
        <v>139768.51333333299</v>
      </c>
      <c r="K125" s="70">
        <f>J125-I125</f>
        <v>3979.7666666668101</v>
      </c>
      <c r="L125" s="70">
        <f t="shared" si="15"/>
        <v>1677222.1599999899</v>
      </c>
      <c r="M125" s="14" t="s">
        <v>124</v>
      </c>
      <c r="N125" s="853">
        <v>1086777.08333333</v>
      </c>
      <c r="O125" s="853">
        <f>N125*0.025</f>
        <v>27169.427083333299</v>
      </c>
      <c r="P125" s="70">
        <v>26406.820833333299</v>
      </c>
      <c r="Q125" s="853">
        <f t="shared" si="18"/>
        <v>762.60624999995298</v>
      </c>
      <c r="R125" s="853">
        <f t="shared" si="19"/>
        <v>326033.12499999901</v>
      </c>
    </row>
    <row r="126" spans="1:18" ht="20.100000000000001" customHeight="1">
      <c r="A126" s="8">
        <v>2</v>
      </c>
      <c r="B126" s="9" t="s">
        <v>229</v>
      </c>
      <c r="C126" s="2" t="s">
        <v>230</v>
      </c>
      <c r="D126" s="13" t="s">
        <v>47</v>
      </c>
      <c r="E126" s="70">
        <v>573911.08333333395</v>
      </c>
      <c r="F126" s="13" t="s">
        <v>191</v>
      </c>
      <c r="G126" s="70">
        <v>589657</v>
      </c>
      <c r="H126" s="186">
        <f t="shared" ref="H126:H131" si="36">G126-E126</f>
        <v>15745.916666666</v>
      </c>
      <c r="I126" s="70">
        <v>45912.886666666702</v>
      </c>
      <c r="J126" s="70">
        <f t="shared" ref="J126:J131" si="37">G126*0.08</f>
        <v>47172.56</v>
      </c>
      <c r="K126" s="70">
        <f t="shared" ref="K126:K131" si="38">J126-I126</f>
        <v>1259.6733333333</v>
      </c>
      <c r="L126" s="70">
        <f t="shared" si="15"/>
        <v>566070.72</v>
      </c>
      <c r="M126" s="13" t="s">
        <v>191</v>
      </c>
      <c r="N126" s="853">
        <v>366417.5</v>
      </c>
      <c r="O126" s="853"/>
      <c r="P126" s="70"/>
      <c r="Q126" s="853">
        <f t="shared" si="18"/>
        <v>0</v>
      </c>
      <c r="R126" s="853">
        <f t="shared" si="19"/>
        <v>0</v>
      </c>
    </row>
    <row r="127" spans="1:18" ht="20.100000000000001" customHeight="1">
      <c r="A127" s="8">
        <v>3</v>
      </c>
      <c r="B127" s="9" t="s">
        <v>231</v>
      </c>
      <c r="C127" s="10" t="s">
        <v>232</v>
      </c>
      <c r="D127" s="13" t="s">
        <v>64</v>
      </c>
      <c r="E127" s="70">
        <v>497472.75</v>
      </c>
      <c r="F127" s="13" t="s">
        <v>218</v>
      </c>
      <c r="G127" s="70">
        <v>512098.91666666698</v>
      </c>
      <c r="H127" s="186">
        <f t="shared" si="36"/>
        <v>14626.166666667001</v>
      </c>
      <c r="I127" s="70">
        <v>39797.82</v>
      </c>
      <c r="J127" s="70">
        <f t="shared" si="37"/>
        <v>40967.913333333403</v>
      </c>
      <c r="K127" s="70">
        <f t="shared" si="38"/>
        <v>1170.0933333333601</v>
      </c>
      <c r="L127" s="70">
        <f t="shared" si="15"/>
        <v>491614.96</v>
      </c>
      <c r="M127" s="13" t="s">
        <v>218</v>
      </c>
      <c r="N127" s="70">
        <f>'[2] FGN 2024 MGT Monthly'!$J$41</f>
        <v>320359.08333333302</v>
      </c>
      <c r="O127" s="853">
        <f>N127*0.025</f>
        <v>8008.9770833333296</v>
      </c>
      <c r="P127" s="70">
        <v>7791.8312500000002</v>
      </c>
      <c r="Q127" s="853">
        <f t="shared" si="18"/>
        <v>217.145833333333</v>
      </c>
      <c r="R127" s="853">
        <f t="shared" si="19"/>
        <v>96107.725000000006</v>
      </c>
    </row>
    <row r="128" spans="1:18" ht="20.100000000000001" customHeight="1">
      <c r="A128" s="8">
        <v>4</v>
      </c>
      <c r="B128" s="9" t="s">
        <v>233</v>
      </c>
      <c r="C128" s="2" t="s">
        <v>234</v>
      </c>
      <c r="D128" s="13" t="s">
        <v>67</v>
      </c>
      <c r="E128" s="70">
        <v>482846.58333333302</v>
      </c>
      <c r="F128" s="13" t="s">
        <v>64</v>
      </c>
      <c r="G128" s="70">
        <v>497472.75</v>
      </c>
      <c r="H128" s="186">
        <f t="shared" si="36"/>
        <v>14626.166666667001</v>
      </c>
      <c r="I128" s="70">
        <v>38627.726666666698</v>
      </c>
      <c r="J128" s="70">
        <f t="shared" si="37"/>
        <v>39797.82</v>
      </c>
      <c r="K128" s="70">
        <f t="shared" si="38"/>
        <v>1170.0933333333001</v>
      </c>
      <c r="L128" s="70">
        <f t="shared" si="15"/>
        <v>477573.84</v>
      </c>
      <c r="M128" s="13" t="s">
        <v>64</v>
      </c>
      <c r="N128" s="853">
        <v>311673.25</v>
      </c>
      <c r="O128" s="853">
        <f>N128*0.025</f>
        <v>7791.8312500000002</v>
      </c>
      <c r="P128" s="70">
        <v>7574.69</v>
      </c>
      <c r="Q128" s="853">
        <f t="shared" si="18"/>
        <v>217.14125000000101</v>
      </c>
      <c r="R128" s="853">
        <f t="shared" si="19"/>
        <v>93501.975000000006</v>
      </c>
    </row>
    <row r="129" spans="1:18" ht="20.100000000000001" customHeight="1">
      <c r="A129" s="8">
        <v>5</v>
      </c>
      <c r="B129" s="9" t="s">
        <v>235</v>
      </c>
      <c r="C129" s="2" t="s">
        <v>234</v>
      </c>
      <c r="D129" s="13" t="s">
        <v>67</v>
      </c>
      <c r="E129" s="70">
        <v>482846.58333333302</v>
      </c>
      <c r="F129" s="13" t="s">
        <v>64</v>
      </c>
      <c r="G129" s="70">
        <v>497472.75</v>
      </c>
      <c r="H129" s="186">
        <f t="shared" si="36"/>
        <v>14626.166666667001</v>
      </c>
      <c r="I129" s="70">
        <v>38627.726666666698</v>
      </c>
      <c r="J129" s="70">
        <f t="shared" si="37"/>
        <v>39797.82</v>
      </c>
      <c r="K129" s="70">
        <f t="shared" si="38"/>
        <v>1170.0933333333001</v>
      </c>
      <c r="L129" s="70">
        <f t="shared" si="15"/>
        <v>477573.84</v>
      </c>
      <c r="M129" s="13" t="s">
        <v>64</v>
      </c>
      <c r="N129" s="853">
        <v>311673.25</v>
      </c>
      <c r="O129" s="853"/>
      <c r="P129" s="70"/>
      <c r="Q129" s="853">
        <f t="shared" si="18"/>
        <v>0</v>
      </c>
      <c r="R129" s="853">
        <f t="shared" si="19"/>
        <v>0</v>
      </c>
    </row>
    <row r="130" spans="1:18" ht="20.100000000000001" customHeight="1">
      <c r="A130" s="8">
        <v>6</v>
      </c>
      <c r="B130" s="9" t="s">
        <v>236</v>
      </c>
      <c r="C130" s="2" t="s">
        <v>199</v>
      </c>
      <c r="D130" s="13" t="s">
        <v>78</v>
      </c>
      <c r="E130" s="186">
        <v>390135.83333333401</v>
      </c>
      <c r="F130" s="13" t="s">
        <v>151</v>
      </c>
      <c r="G130" s="186">
        <v>399131.16666666698</v>
      </c>
      <c r="H130" s="186">
        <f t="shared" si="36"/>
        <v>8995.3333333329592</v>
      </c>
      <c r="I130" s="70">
        <v>31210.866666666701</v>
      </c>
      <c r="J130" s="70">
        <f t="shared" si="37"/>
        <v>31930.493333333401</v>
      </c>
      <c r="K130" s="70">
        <f t="shared" si="38"/>
        <v>719.62666666665598</v>
      </c>
      <c r="L130" s="70">
        <f t="shared" si="15"/>
        <v>383165.92</v>
      </c>
      <c r="M130" s="13" t="s">
        <v>151</v>
      </c>
      <c r="N130" s="853">
        <v>251467.91666666701</v>
      </c>
      <c r="O130" s="853"/>
      <c r="P130" s="70"/>
      <c r="Q130" s="853">
        <f t="shared" si="18"/>
        <v>0</v>
      </c>
      <c r="R130" s="853">
        <f t="shared" si="19"/>
        <v>0</v>
      </c>
    </row>
    <row r="131" spans="1:18" ht="20.100000000000001" customHeight="1">
      <c r="A131" s="8">
        <v>7</v>
      </c>
      <c r="B131" s="16" t="s">
        <v>237</v>
      </c>
      <c r="C131" s="10" t="s">
        <v>238</v>
      </c>
      <c r="D131" s="13" t="s">
        <v>81</v>
      </c>
      <c r="E131" s="70">
        <v>372145.33333333302</v>
      </c>
      <c r="F131" s="13" t="s">
        <v>75</v>
      </c>
      <c r="G131" s="70">
        <v>381140.66666666599</v>
      </c>
      <c r="H131" s="186">
        <f t="shared" si="36"/>
        <v>8995.3333333329592</v>
      </c>
      <c r="I131" s="639">
        <v>29771.6266666667</v>
      </c>
      <c r="J131" s="70">
        <f t="shared" si="37"/>
        <v>30491.253333333301</v>
      </c>
      <c r="K131" s="70">
        <f t="shared" si="38"/>
        <v>719.62666666658004</v>
      </c>
      <c r="L131" s="70">
        <f t="shared" si="15"/>
        <v>365895.03999999899</v>
      </c>
      <c r="M131" s="13" t="s">
        <v>75</v>
      </c>
      <c r="N131" s="853">
        <v>240874.58333333299</v>
      </c>
      <c r="O131" s="853"/>
      <c r="P131" s="2"/>
      <c r="Q131" s="853">
        <f t="shared" si="18"/>
        <v>0</v>
      </c>
      <c r="R131" s="853">
        <f t="shared" si="19"/>
        <v>0</v>
      </c>
    </row>
    <row r="132" spans="1:18" ht="20.100000000000001" customHeight="1">
      <c r="A132" s="2"/>
      <c r="B132" s="18" t="s">
        <v>120</v>
      </c>
      <c r="C132" s="19">
        <v>7</v>
      </c>
      <c r="D132" s="24"/>
      <c r="E132" s="78">
        <f t="shared" ref="E132:K132" si="39">SUM(E125:E131)</f>
        <v>4496717.5</v>
      </c>
      <c r="F132" s="78"/>
      <c r="G132" s="78">
        <f t="shared" si="39"/>
        <v>4624079.6666666605</v>
      </c>
      <c r="H132" s="78">
        <f t="shared" si="39"/>
        <v>127362.166666663</v>
      </c>
      <c r="I132" s="78">
        <f t="shared" si="39"/>
        <v>359737.39999999898</v>
      </c>
      <c r="J132" s="78">
        <f t="shared" si="39"/>
        <v>369926.373333333</v>
      </c>
      <c r="K132" s="78">
        <f t="shared" si="39"/>
        <v>10188.973333333301</v>
      </c>
      <c r="L132" s="78">
        <f t="shared" ref="L132:R132" si="40">SUM(L125:L131)</f>
        <v>4439116.4799999902</v>
      </c>
      <c r="M132" s="78">
        <f t="shared" si="40"/>
        <v>0</v>
      </c>
      <c r="N132" s="78">
        <f t="shared" si="40"/>
        <v>2889242.66666666</v>
      </c>
      <c r="O132" s="78">
        <f t="shared" si="40"/>
        <v>42970.235416666597</v>
      </c>
      <c r="P132" s="78">
        <f t="shared" si="40"/>
        <v>41773.3420833333</v>
      </c>
      <c r="Q132" s="78">
        <f t="shared" si="40"/>
        <v>1196.89333333329</v>
      </c>
      <c r="R132" s="78">
        <f t="shared" si="40"/>
        <v>515642.82499999902</v>
      </c>
    </row>
    <row r="133" spans="1:18" ht="20.100000000000001" customHeight="1">
      <c r="A133" s="2"/>
      <c r="B133" s="20"/>
      <c r="C133" s="19"/>
      <c r="D133" s="24"/>
      <c r="E133" s="122"/>
      <c r="F133" s="122"/>
      <c r="G133" s="122"/>
      <c r="H133" s="186"/>
      <c r="I133" s="122"/>
      <c r="J133" s="122"/>
      <c r="K133" s="122"/>
      <c r="L133" s="70"/>
      <c r="M133" s="122"/>
      <c r="N133" s="122"/>
      <c r="O133" s="853"/>
      <c r="P133" s="122"/>
      <c r="Q133" s="853">
        <f t="shared" si="18"/>
        <v>0</v>
      </c>
      <c r="R133" s="853"/>
    </row>
    <row r="134" spans="1:18" ht="20.100000000000001" customHeight="1">
      <c r="A134" s="2"/>
      <c r="B134" s="18" t="s">
        <v>239</v>
      </c>
      <c r="C134" s="2"/>
      <c r="D134" s="2"/>
      <c r="E134" s="2"/>
      <c r="F134" s="2"/>
      <c r="G134" s="2"/>
      <c r="H134" s="186"/>
      <c r="I134" s="2"/>
      <c r="J134" s="2"/>
      <c r="K134" s="2"/>
      <c r="L134" s="70"/>
      <c r="M134" s="2"/>
      <c r="N134" s="2"/>
      <c r="O134" s="853"/>
      <c r="P134" s="2"/>
      <c r="Q134" s="853">
        <f t="shared" si="18"/>
        <v>0</v>
      </c>
      <c r="R134" s="853"/>
    </row>
    <row r="135" spans="1:18" ht="20.100000000000001" customHeight="1">
      <c r="A135" s="2">
        <v>1</v>
      </c>
      <c r="B135" s="9" t="s">
        <v>240</v>
      </c>
      <c r="C135" s="10" t="s">
        <v>241</v>
      </c>
      <c r="D135" s="13" t="s">
        <v>124</v>
      </c>
      <c r="E135" s="70">
        <v>1747106.41666666</v>
      </c>
      <c r="F135" s="13" t="s">
        <v>124</v>
      </c>
      <c r="G135" s="70">
        <v>1747106.41666666</v>
      </c>
      <c r="H135" s="186">
        <f>G135-E135</f>
        <v>0</v>
      </c>
      <c r="I135" s="70">
        <v>139768.51333333299</v>
      </c>
      <c r="J135" s="70">
        <f>G135*0.08</f>
        <v>139768.51333333299</v>
      </c>
      <c r="K135" s="70">
        <f>J135-I135</f>
        <v>0</v>
      </c>
      <c r="L135" s="70">
        <f t="shared" si="15"/>
        <v>1677222.1599999899</v>
      </c>
      <c r="M135" s="13" t="s">
        <v>124</v>
      </c>
      <c r="N135" s="853">
        <v>1086777.08333333</v>
      </c>
      <c r="O135" s="853"/>
      <c r="P135" s="70">
        <v>0</v>
      </c>
      <c r="Q135" s="853">
        <f t="shared" si="18"/>
        <v>0</v>
      </c>
      <c r="R135" s="853">
        <f t="shared" si="19"/>
        <v>0</v>
      </c>
    </row>
    <row r="136" spans="1:18" ht="20.100000000000001" customHeight="1">
      <c r="A136" s="2">
        <v>2</v>
      </c>
      <c r="B136" s="9" t="s">
        <v>242</v>
      </c>
      <c r="C136" s="2" t="s">
        <v>243</v>
      </c>
      <c r="D136" s="14" t="s">
        <v>36</v>
      </c>
      <c r="E136" s="70">
        <v>905306.75</v>
      </c>
      <c r="F136" s="14" t="s">
        <v>36</v>
      </c>
      <c r="G136" s="70">
        <v>905306.75</v>
      </c>
      <c r="H136" s="186">
        <f t="shared" ref="H136:H145" si="41">G136-E136</f>
        <v>0</v>
      </c>
      <c r="I136" s="70">
        <v>72424.539999999994</v>
      </c>
      <c r="J136" s="70">
        <f t="shared" ref="J136:J145" si="42">G136*0.08</f>
        <v>72424.539999999994</v>
      </c>
      <c r="K136" s="70">
        <f t="shared" ref="K136:K145" si="43">J136-I136</f>
        <v>0</v>
      </c>
      <c r="L136" s="70">
        <f t="shared" ref="L136:L199" si="44">J136*12</f>
        <v>869094.48</v>
      </c>
      <c r="M136" s="14" t="s">
        <v>36</v>
      </c>
      <c r="N136" s="853">
        <v>554669.5</v>
      </c>
      <c r="O136" s="853">
        <f>N136*0.025</f>
        <v>13866.737499999999</v>
      </c>
      <c r="P136" s="70">
        <v>13866.737499999999</v>
      </c>
      <c r="Q136" s="853">
        <f t="shared" si="18"/>
        <v>0</v>
      </c>
      <c r="R136" s="853">
        <f t="shared" si="19"/>
        <v>166400.85</v>
      </c>
    </row>
    <row r="137" spans="1:18" ht="20.100000000000001" customHeight="1">
      <c r="A137" s="2">
        <v>3</v>
      </c>
      <c r="B137" s="9" t="s">
        <v>244</v>
      </c>
      <c r="C137" s="2" t="s">
        <v>245</v>
      </c>
      <c r="D137" s="8" t="s">
        <v>574</v>
      </c>
      <c r="E137" s="70">
        <v>542419.5</v>
      </c>
      <c r="F137" s="8" t="s">
        <v>214</v>
      </c>
      <c r="G137" s="70">
        <v>558165.25</v>
      </c>
      <c r="H137" s="186">
        <f t="shared" si="41"/>
        <v>15745.75</v>
      </c>
      <c r="I137" s="70">
        <v>43393.56</v>
      </c>
      <c r="J137" s="70">
        <f t="shared" si="42"/>
        <v>44653.22</v>
      </c>
      <c r="K137" s="70">
        <f t="shared" si="43"/>
        <v>1259.6600000000001</v>
      </c>
      <c r="L137" s="70">
        <f t="shared" si="44"/>
        <v>535838.64</v>
      </c>
      <c r="M137" s="8" t="s">
        <v>214</v>
      </c>
      <c r="N137" s="853">
        <v>347715.91666666698</v>
      </c>
      <c r="O137" s="853">
        <f>N137*0.025</f>
        <v>8692.8979166666704</v>
      </c>
      <c r="P137" s="70">
        <v>8459.1312500000004</v>
      </c>
      <c r="Q137" s="853">
        <f t="shared" ref="Q137:Q200" si="45">O137-P137</f>
        <v>233.76666666667401</v>
      </c>
      <c r="R137" s="853">
        <f t="shared" ref="R137:R200" si="46">O137*12</f>
        <v>104314.77499999999</v>
      </c>
    </row>
    <row r="138" spans="1:18" ht="20.100000000000001" customHeight="1">
      <c r="A138" s="2">
        <v>4</v>
      </c>
      <c r="B138" s="9" t="s">
        <v>246</v>
      </c>
      <c r="C138" s="2" t="s">
        <v>245</v>
      </c>
      <c r="D138" s="8" t="s">
        <v>574</v>
      </c>
      <c r="E138" s="70">
        <v>542419.5</v>
      </c>
      <c r="F138" s="8" t="s">
        <v>214</v>
      </c>
      <c r="G138" s="70">
        <v>558165.25</v>
      </c>
      <c r="H138" s="186">
        <f t="shared" si="41"/>
        <v>15745.75</v>
      </c>
      <c r="I138" s="70">
        <v>43393.56</v>
      </c>
      <c r="J138" s="70">
        <f t="shared" si="42"/>
        <v>44653.22</v>
      </c>
      <c r="K138" s="70">
        <f t="shared" si="43"/>
        <v>1259.6600000000001</v>
      </c>
      <c r="L138" s="70">
        <f t="shared" si="44"/>
        <v>535838.64</v>
      </c>
      <c r="M138" s="8" t="s">
        <v>214</v>
      </c>
      <c r="N138" s="853">
        <v>347715.91666666698</v>
      </c>
      <c r="O138" s="853"/>
      <c r="P138" s="70"/>
      <c r="Q138" s="853">
        <f t="shared" si="45"/>
        <v>0</v>
      </c>
      <c r="R138" s="853">
        <f t="shared" si="46"/>
        <v>0</v>
      </c>
    </row>
    <row r="139" spans="1:18" ht="20.100000000000001" customHeight="1">
      <c r="A139" s="2">
        <v>5</v>
      </c>
      <c r="B139" s="16" t="s">
        <v>247</v>
      </c>
      <c r="C139" s="2" t="s">
        <v>248</v>
      </c>
      <c r="D139" s="13" t="s">
        <v>179</v>
      </c>
      <c r="E139" s="186">
        <v>441159</v>
      </c>
      <c r="F139" s="13" t="s">
        <v>131</v>
      </c>
      <c r="G139" s="70">
        <v>454993.58333333302</v>
      </c>
      <c r="H139" s="186">
        <f t="shared" si="41"/>
        <v>13834.583333332999</v>
      </c>
      <c r="I139" s="70">
        <v>35292.720000000001</v>
      </c>
      <c r="J139" s="70">
        <f t="shared" si="42"/>
        <v>36399.486666666598</v>
      </c>
      <c r="K139" s="70">
        <f t="shared" si="43"/>
        <v>1106.76666666664</v>
      </c>
      <c r="L139" s="70">
        <f t="shared" si="44"/>
        <v>436793.83999999898</v>
      </c>
      <c r="M139" s="13" t="s">
        <v>131</v>
      </c>
      <c r="N139" s="853">
        <v>286447.08333333302</v>
      </c>
      <c r="O139" s="853"/>
      <c r="P139" s="70"/>
      <c r="Q139" s="853">
        <f t="shared" si="45"/>
        <v>0</v>
      </c>
      <c r="R139" s="853">
        <f t="shared" si="46"/>
        <v>0</v>
      </c>
    </row>
    <row r="140" spans="1:18" ht="20.100000000000001" customHeight="1">
      <c r="A140" s="2">
        <v>6</v>
      </c>
      <c r="B140" s="9" t="s">
        <v>249</v>
      </c>
      <c r="C140" s="2" t="s">
        <v>250</v>
      </c>
      <c r="D140" s="13" t="s">
        <v>579</v>
      </c>
      <c r="E140" s="186">
        <v>329950.41666666698</v>
      </c>
      <c r="F140" s="13" t="s">
        <v>251</v>
      </c>
      <c r="G140" s="186">
        <f>'[2]Peculiar Allowance'!$O$37+'[2] FGN 2024 MGT Monthly'!$O$37</f>
        <v>336960.16666666698</v>
      </c>
      <c r="H140" s="186">
        <f t="shared" si="41"/>
        <v>7009.7499999997099</v>
      </c>
      <c r="I140" s="70">
        <v>26396.033333333398</v>
      </c>
      <c r="J140" s="70">
        <f t="shared" si="42"/>
        <v>26956.813333333299</v>
      </c>
      <c r="K140" s="70">
        <f t="shared" si="43"/>
        <v>560.77999999993699</v>
      </c>
      <c r="L140" s="70">
        <f t="shared" si="44"/>
        <v>323481.76</v>
      </c>
      <c r="M140" s="13" t="s">
        <v>251</v>
      </c>
      <c r="N140" s="186">
        <f>'[2] FGN 2024 MGT Monthly'!$O$37</f>
        <v>217289.25</v>
      </c>
      <c r="O140" s="853"/>
      <c r="P140" s="70"/>
      <c r="Q140" s="853">
        <f t="shared" si="45"/>
        <v>0</v>
      </c>
      <c r="R140" s="853">
        <f t="shared" si="46"/>
        <v>0</v>
      </c>
    </row>
    <row r="141" spans="1:18" ht="20.100000000000001" customHeight="1">
      <c r="A141" s="2">
        <v>7</v>
      </c>
      <c r="B141" s="16" t="s">
        <v>252</v>
      </c>
      <c r="C141" s="2" t="s">
        <v>250</v>
      </c>
      <c r="D141" s="8" t="s">
        <v>225</v>
      </c>
      <c r="E141" s="186">
        <v>330407.08333333302</v>
      </c>
      <c r="F141" s="8" t="s">
        <v>99</v>
      </c>
      <c r="G141" s="186">
        <v>338711.66666666698</v>
      </c>
      <c r="H141" s="186">
        <f t="shared" si="41"/>
        <v>8304.5833333339506</v>
      </c>
      <c r="I141" s="70">
        <v>26432.5666666666</v>
      </c>
      <c r="J141" s="70">
        <f t="shared" si="42"/>
        <v>27096.9333333334</v>
      </c>
      <c r="K141" s="70">
        <f t="shared" si="43"/>
        <v>664.36666666676001</v>
      </c>
      <c r="L141" s="70">
        <f t="shared" si="44"/>
        <v>325163.200000001</v>
      </c>
      <c r="M141" s="8" t="s">
        <v>99</v>
      </c>
      <c r="N141" s="853">
        <v>217733.41666666701</v>
      </c>
      <c r="O141" s="853"/>
      <c r="P141" s="70"/>
      <c r="Q141" s="853">
        <f t="shared" si="45"/>
        <v>0</v>
      </c>
      <c r="R141" s="853">
        <f t="shared" si="46"/>
        <v>0</v>
      </c>
    </row>
    <row r="142" spans="1:18" ht="20.100000000000001" customHeight="1">
      <c r="A142" s="2">
        <v>8</v>
      </c>
      <c r="B142" s="16" t="s">
        <v>253</v>
      </c>
      <c r="C142" s="2" t="s">
        <v>250</v>
      </c>
      <c r="D142" s="13" t="s">
        <v>105</v>
      </c>
      <c r="E142" s="186">
        <v>308920.66666666698</v>
      </c>
      <c r="F142" s="13" t="s">
        <v>517</v>
      </c>
      <c r="G142" s="186">
        <v>315930.58333333302</v>
      </c>
      <c r="H142" s="186">
        <f t="shared" si="41"/>
        <v>7009.9166666660503</v>
      </c>
      <c r="I142" s="70">
        <v>24713.653333333401</v>
      </c>
      <c r="J142" s="70">
        <f t="shared" si="42"/>
        <v>25274.446666666601</v>
      </c>
      <c r="K142" s="70">
        <f t="shared" si="43"/>
        <v>560.79333333323996</v>
      </c>
      <c r="L142" s="70">
        <f t="shared" si="44"/>
        <v>303293.359999999</v>
      </c>
      <c r="M142" s="13" t="s">
        <v>517</v>
      </c>
      <c r="N142" s="186">
        <f>'[2] FGN 2024 MGT Monthly'!$L$37</f>
        <v>204734.41666666701</v>
      </c>
      <c r="O142" s="853">
        <f>N142*0.025</f>
        <v>5118.3604166666701</v>
      </c>
      <c r="P142" s="70">
        <v>5013.7354166666801</v>
      </c>
      <c r="Q142" s="853">
        <f t="shared" si="45"/>
        <v>104.624999999986</v>
      </c>
      <c r="R142" s="853">
        <f t="shared" si="46"/>
        <v>61420.324999999997</v>
      </c>
    </row>
    <row r="143" spans="1:18" ht="20.100000000000001" customHeight="1">
      <c r="A143" s="2">
        <v>9</v>
      </c>
      <c r="B143" s="16" t="s">
        <v>254</v>
      </c>
      <c r="C143" s="2" t="s">
        <v>250</v>
      </c>
      <c r="D143" s="13" t="s">
        <v>277</v>
      </c>
      <c r="E143" s="70">
        <v>287890.91666666698</v>
      </c>
      <c r="F143" s="13" t="s">
        <v>111</v>
      </c>
      <c r="G143" s="70">
        <v>294900.83333333401</v>
      </c>
      <c r="H143" s="186">
        <f t="shared" si="41"/>
        <v>7009.9166666670399</v>
      </c>
      <c r="I143" s="639">
        <v>23031.273333333302</v>
      </c>
      <c r="J143" s="70">
        <f t="shared" si="42"/>
        <v>23592.066666666698</v>
      </c>
      <c r="K143" s="70">
        <f t="shared" si="43"/>
        <v>560.79333333341901</v>
      </c>
      <c r="L143" s="70">
        <f t="shared" si="44"/>
        <v>283104.8</v>
      </c>
      <c r="M143" s="13" t="s">
        <v>111</v>
      </c>
      <c r="N143" s="853">
        <v>192179.41666666701</v>
      </c>
      <c r="O143" s="853"/>
      <c r="P143" s="2"/>
      <c r="Q143" s="853">
        <f t="shared" si="45"/>
        <v>0</v>
      </c>
      <c r="R143" s="853">
        <f t="shared" si="46"/>
        <v>0</v>
      </c>
    </row>
    <row r="144" spans="1:18" ht="20.100000000000001" customHeight="1">
      <c r="A144" s="2">
        <v>10</v>
      </c>
      <c r="B144" s="16" t="s">
        <v>255</v>
      </c>
      <c r="C144" s="2" t="s">
        <v>250</v>
      </c>
      <c r="D144" s="13" t="s">
        <v>277</v>
      </c>
      <c r="E144" s="70">
        <v>287890.91666666698</v>
      </c>
      <c r="F144" s="13" t="s">
        <v>111</v>
      </c>
      <c r="G144" s="70">
        <v>294900.83333333401</v>
      </c>
      <c r="H144" s="186">
        <f t="shared" si="41"/>
        <v>7009.9166666670399</v>
      </c>
      <c r="I144" s="639">
        <v>23031.273333333302</v>
      </c>
      <c r="J144" s="70">
        <f t="shared" si="42"/>
        <v>23592.066666666698</v>
      </c>
      <c r="K144" s="70">
        <f t="shared" si="43"/>
        <v>560.79333333341901</v>
      </c>
      <c r="L144" s="70">
        <f t="shared" si="44"/>
        <v>283104.8</v>
      </c>
      <c r="M144" s="13" t="s">
        <v>111</v>
      </c>
      <c r="N144" s="853">
        <v>192179.41666666701</v>
      </c>
      <c r="O144" s="853"/>
      <c r="P144" s="2"/>
      <c r="Q144" s="853">
        <f t="shared" si="45"/>
        <v>0</v>
      </c>
      <c r="R144" s="853">
        <f t="shared" si="46"/>
        <v>0</v>
      </c>
    </row>
    <row r="145" spans="1:18" ht="20.100000000000001" customHeight="1">
      <c r="A145" s="2">
        <v>11</v>
      </c>
      <c r="B145" s="16" t="s">
        <v>256</v>
      </c>
      <c r="C145" s="2" t="s">
        <v>250</v>
      </c>
      <c r="D145" s="13" t="s">
        <v>277</v>
      </c>
      <c r="E145" s="70">
        <v>287890.91666666698</v>
      </c>
      <c r="F145" s="13" t="s">
        <v>111</v>
      </c>
      <c r="G145" s="70">
        <v>294900.83333333401</v>
      </c>
      <c r="H145" s="186">
        <f t="shared" si="41"/>
        <v>7009.9166666670399</v>
      </c>
      <c r="I145" s="639">
        <v>23031.273333333302</v>
      </c>
      <c r="J145" s="70">
        <f t="shared" si="42"/>
        <v>23592.066666666698</v>
      </c>
      <c r="K145" s="70">
        <f t="shared" si="43"/>
        <v>560.79333333341901</v>
      </c>
      <c r="L145" s="70">
        <f t="shared" si="44"/>
        <v>283104.8</v>
      </c>
      <c r="M145" s="13" t="s">
        <v>111</v>
      </c>
      <c r="N145" s="853">
        <v>192179.41666666701</v>
      </c>
      <c r="O145" s="853"/>
      <c r="P145" s="2"/>
      <c r="Q145" s="853">
        <f t="shared" si="45"/>
        <v>0</v>
      </c>
      <c r="R145" s="853">
        <f t="shared" si="46"/>
        <v>0</v>
      </c>
    </row>
    <row r="146" spans="1:18" ht="25.5" customHeight="1">
      <c r="A146" s="2"/>
      <c r="B146" s="18" t="s">
        <v>120</v>
      </c>
      <c r="C146" s="19">
        <v>11</v>
      </c>
      <c r="D146" s="2"/>
      <c r="E146" s="189">
        <f t="shared" ref="E146:L146" si="47">SUM(E135:E145)</f>
        <v>6011362.0833333302</v>
      </c>
      <c r="F146" s="189"/>
      <c r="G146" s="189">
        <f t="shared" si="47"/>
        <v>6100042.1666666605</v>
      </c>
      <c r="H146" s="189">
        <f t="shared" si="47"/>
        <v>88680.083333333794</v>
      </c>
      <c r="I146" s="189">
        <f t="shared" si="47"/>
        <v>480908.96666666598</v>
      </c>
      <c r="J146" s="189">
        <f t="shared" si="47"/>
        <v>488003.373333333</v>
      </c>
      <c r="K146" s="189">
        <f t="shared" si="47"/>
        <v>7094.4066666668296</v>
      </c>
      <c r="L146" s="189">
        <f t="shared" si="47"/>
        <v>5856040.4799999902</v>
      </c>
      <c r="M146" s="189">
        <f t="shared" ref="M146:R146" si="48">SUM(M135:M145)</f>
        <v>0</v>
      </c>
      <c r="N146" s="189">
        <f t="shared" si="48"/>
        <v>3839620.8333333302</v>
      </c>
      <c r="O146" s="189">
        <f t="shared" si="48"/>
        <v>27677.995833333302</v>
      </c>
      <c r="P146" s="189">
        <f t="shared" si="48"/>
        <v>27339.604166666701</v>
      </c>
      <c r="Q146" s="189">
        <f t="shared" si="48"/>
        <v>338.39166666666</v>
      </c>
      <c r="R146" s="189">
        <f t="shared" si="48"/>
        <v>332135.95</v>
      </c>
    </row>
    <row r="147" spans="1:18" ht="20.100000000000001" customHeight="1">
      <c r="A147" s="2"/>
      <c r="B147" s="18"/>
      <c r="C147" s="19"/>
      <c r="D147" s="2"/>
      <c r="E147" s="189"/>
      <c r="F147" s="189"/>
      <c r="G147" s="189"/>
      <c r="H147" s="475"/>
      <c r="I147" s="189"/>
      <c r="J147" s="189"/>
      <c r="K147" s="189"/>
      <c r="L147" s="70"/>
      <c r="M147" s="189"/>
      <c r="N147" s="189"/>
      <c r="O147" s="853"/>
      <c r="P147" s="189"/>
      <c r="Q147" s="853"/>
      <c r="R147" s="853"/>
    </row>
    <row r="148" spans="1:18" ht="20.100000000000001" customHeight="1">
      <c r="A148" s="8"/>
      <c r="B148" s="18" t="s">
        <v>257</v>
      </c>
      <c r="C148" s="19"/>
      <c r="D148" s="19"/>
      <c r="E148" s="122"/>
      <c r="F148" s="122"/>
      <c r="G148" s="122"/>
      <c r="H148" s="186"/>
      <c r="I148" s="122"/>
      <c r="J148" s="122"/>
      <c r="K148" s="122"/>
      <c r="L148" s="70"/>
      <c r="M148" s="122"/>
      <c r="N148" s="122"/>
      <c r="O148" s="853"/>
      <c r="P148" s="122"/>
      <c r="Q148" s="853"/>
      <c r="R148" s="853"/>
    </row>
    <row r="149" spans="1:18" ht="20.100000000000001" customHeight="1">
      <c r="A149" s="8">
        <v>1</v>
      </c>
      <c r="B149" s="9" t="s">
        <v>258</v>
      </c>
      <c r="C149" s="15" t="s">
        <v>142</v>
      </c>
      <c r="D149" s="8" t="s">
        <v>42</v>
      </c>
      <c r="E149" s="70">
        <v>700713.91666666605</v>
      </c>
      <c r="F149" s="8" t="s">
        <v>50</v>
      </c>
      <c r="G149" s="70">
        <v>722595.5</v>
      </c>
      <c r="H149" s="186">
        <f>G149-E149</f>
        <v>21881.583333334002</v>
      </c>
      <c r="I149" s="70">
        <v>56057.113333333298</v>
      </c>
      <c r="J149" s="70">
        <f t="shared" ref="J149:J156" si="49">G149*0.08</f>
        <v>57807.64</v>
      </c>
      <c r="K149" s="70">
        <f t="shared" ref="K149:K156" si="50">J149-I149</f>
        <v>1750.5266666667001</v>
      </c>
      <c r="L149" s="70">
        <f t="shared" si="44"/>
        <v>693691.68</v>
      </c>
      <c r="M149" s="8" t="s">
        <v>50</v>
      </c>
      <c r="N149" s="853">
        <v>445995.83333333302</v>
      </c>
      <c r="O149" s="853"/>
      <c r="P149" s="70">
        <v>0</v>
      </c>
      <c r="Q149" s="853">
        <f t="shared" si="45"/>
        <v>0</v>
      </c>
      <c r="R149" s="853">
        <f t="shared" si="46"/>
        <v>0</v>
      </c>
    </row>
    <row r="150" spans="1:18" ht="18.75" customHeight="1">
      <c r="A150" s="8">
        <v>2</v>
      </c>
      <c r="B150" s="9" t="s">
        <v>259</v>
      </c>
      <c r="C150" s="2" t="s">
        <v>260</v>
      </c>
      <c r="D150" s="13" t="s">
        <v>172</v>
      </c>
      <c r="E150" s="70">
        <v>482662.66666666698</v>
      </c>
      <c r="F150" s="13" t="s">
        <v>261</v>
      </c>
      <c r="G150" s="70">
        <f>'[2] FGN 2024 MGT Monthly'!$L$40+'[2]Peculiar Allowance'!$L$40</f>
        <v>496497.16666666698</v>
      </c>
      <c r="H150" s="186">
        <f t="shared" ref="H150:H156" si="51">G150-E150</f>
        <v>13834.4999999997</v>
      </c>
      <c r="I150" s="70">
        <v>38613.013333333402</v>
      </c>
      <c r="J150" s="70">
        <f t="shared" si="49"/>
        <v>39719.773333333302</v>
      </c>
      <c r="K150" s="70">
        <f t="shared" si="50"/>
        <v>1106.75999999994</v>
      </c>
      <c r="L150" s="70">
        <f t="shared" si="44"/>
        <v>476637.28</v>
      </c>
      <c r="M150" s="13" t="s">
        <v>261</v>
      </c>
      <c r="N150" s="70">
        <f>'[2] FGN 2024 MGT Monthly'!$L$40</f>
        <v>311094.41666666698</v>
      </c>
      <c r="O150" s="853">
        <f>N150*0.025</f>
        <v>7777.3604166666701</v>
      </c>
      <c r="P150" s="70">
        <v>7571.97</v>
      </c>
      <c r="Q150" s="853">
        <f t="shared" si="45"/>
        <v>205.39041666666699</v>
      </c>
      <c r="R150" s="853">
        <f t="shared" si="46"/>
        <v>93328.324999999997</v>
      </c>
    </row>
    <row r="151" spans="1:18" ht="18.75" customHeight="1">
      <c r="A151" s="8">
        <v>3</v>
      </c>
      <c r="B151" s="9" t="s">
        <v>484</v>
      </c>
      <c r="C151" s="2" t="s">
        <v>72</v>
      </c>
      <c r="D151" s="13" t="s">
        <v>70</v>
      </c>
      <c r="E151" s="70">
        <v>468828.16666666698</v>
      </c>
      <c r="F151" s="13" t="s">
        <v>70</v>
      </c>
      <c r="G151" s="70">
        <v>468828.16666666698</v>
      </c>
      <c r="H151" s="186">
        <f t="shared" si="51"/>
        <v>0</v>
      </c>
      <c r="I151" s="70">
        <v>37506.253333333399</v>
      </c>
      <c r="J151" s="70"/>
      <c r="K151" s="70">
        <f t="shared" si="50"/>
        <v>-37506.253333333399</v>
      </c>
      <c r="L151" s="70">
        <f t="shared" si="44"/>
        <v>0</v>
      </c>
      <c r="M151" s="13" t="s">
        <v>70</v>
      </c>
      <c r="N151" s="853">
        <v>294662.91666666698</v>
      </c>
      <c r="O151" s="853"/>
      <c r="P151" s="70"/>
      <c r="Q151" s="853">
        <f t="shared" si="45"/>
        <v>0</v>
      </c>
      <c r="R151" s="853">
        <f t="shared" si="46"/>
        <v>0</v>
      </c>
    </row>
    <row r="152" spans="1:18" ht="18.75" customHeight="1">
      <c r="A152" s="8">
        <v>4</v>
      </c>
      <c r="B152" s="16" t="s">
        <v>262</v>
      </c>
      <c r="C152" s="2" t="s">
        <v>150</v>
      </c>
      <c r="D152" s="8" t="s">
        <v>225</v>
      </c>
      <c r="E152" s="70">
        <v>330407.08333333302</v>
      </c>
      <c r="F152" s="8" t="s">
        <v>99</v>
      </c>
      <c r="G152" s="186">
        <v>338711.66666666698</v>
      </c>
      <c r="H152" s="186">
        <f t="shared" si="51"/>
        <v>8304.5833333339506</v>
      </c>
      <c r="I152" s="70">
        <v>26432.566666666698</v>
      </c>
      <c r="J152" s="70">
        <f t="shared" si="49"/>
        <v>27096.9333333334</v>
      </c>
      <c r="K152" s="70">
        <f t="shared" si="50"/>
        <v>664.36666666670101</v>
      </c>
      <c r="L152" s="70">
        <f t="shared" si="44"/>
        <v>325163.200000001</v>
      </c>
      <c r="M152" s="8" t="s">
        <v>99</v>
      </c>
      <c r="N152" s="853">
        <v>217733.41666666701</v>
      </c>
      <c r="O152" s="853">
        <f>N152*0.025</f>
        <v>5443.3354166666804</v>
      </c>
      <c r="P152" s="70">
        <v>5319.8</v>
      </c>
      <c r="Q152" s="853">
        <f t="shared" si="45"/>
        <v>123.535416666676</v>
      </c>
      <c r="R152" s="853">
        <f t="shared" si="46"/>
        <v>65320.025000000103</v>
      </c>
    </row>
    <row r="153" spans="1:18" ht="18.75" customHeight="1">
      <c r="A153" s="8">
        <v>5</v>
      </c>
      <c r="B153" s="16" t="s">
        <v>263</v>
      </c>
      <c r="C153" s="2" t="s">
        <v>150</v>
      </c>
      <c r="D153" s="8" t="s">
        <v>225</v>
      </c>
      <c r="E153" s="70">
        <v>330407.08333333302</v>
      </c>
      <c r="F153" s="8" t="s">
        <v>99</v>
      </c>
      <c r="G153" s="186">
        <v>338711.66666666698</v>
      </c>
      <c r="H153" s="186">
        <f t="shared" si="51"/>
        <v>8304.5833333339506</v>
      </c>
      <c r="I153" s="70">
        <v>26432.566666666698</v>
      </c>
      <c r="J153" s="70">
        <f t="shared" si="49"/>
        <v>27096.9333333334</v>
      </c>
      <c r="K153" s="70">
        <f t="shared" si="50"/>
        <v>664.36666666670101</v>
      </c>
      <c r="L153" s="70">
        <f t="shared" si="44"/>
        <v>325163.200000001</v>
      </c>
      <c r="M153" s="8" t="s">
        <v>99</v>
      </c>
      <c r="N153" s="853">
        <v>217733.41666666701</v>
      </c>
      <c r="O153" s="853">
        <f>N153*0.025</f>
        <v>5443.3354166666804</v>
      </c>
      <c r="P153" s="70">
        <v>5319.8</v>
      </c>
      <c r="Q153" s="853">
        <f t="shared" si="45"/>
        <v>123.535416666676</v>
      </c>
      <c r="R153" s="853">
        <f t="shared" si="46"/>
        <v>65320.025000000103</v>
      </c>
    </row>
    <row r="154" spans="1:18" ht="18.75" customHeight="1">
      <c r="A154" s="8">
        <v>6</v>
      </c>
      <c r="B154" s="16" t="s">
        <v>264</v>
      </c>
      <c r="C154" s="2" t="s">
        <v>150</v>
      </c>
      <c r="D154" s="8" t="s">
        <v>225</v>
      </c>
      <c r="E154" s="70">
        <v>330407.08333333302</v>
      </c>
      <c r="F154" s="8" t="s">
        <v>99</v>
      </c>
      <c r="G154" s="186">
        <v>338711.66666666698</v>
      </c>
      <c r="H154" s="186">
        <f t="shared" si="51"/>
        <v>8304.5833333339506</v>
      </c>
      <c r="I154" s="70">
        <v>26432.566666666698</v>
      </c>
      <c r="J154" s="70">
        <f t="shared" si="49"/>
        <v>27096.9333333334</v>
      </c>
      <c r="K154" s="70">
        <f t="shared" si="50"/>
        <v>664.36666666670101</v>
      </c>
      <c r="L154" s="70">
        <f t="shared" si="44"/>
        <v>325163.200000001</v>
      </c>
      <c r="M154" s="8" t="s">
        <v>99</v>
      </c>
      <c r="N154" s="853">
        <v>217733.41666666701</v>
      </c>
      <c r="O154" s="853">
        <f>N154*0.025</f>
        <v>5443.3354166666804</v>
      </c>
      <c r="P154" s="70">
        <v>5319.8</v>
      </c>
      <c r="Q154" s="853">
        <f t="shared" si="45"/>
        <v>123.535416666676</v>
      </c>
      <c r="R154" s="853">
        <f t="shared" si="46"/>
        <v>65320.025000000103</v>
      </c>
    </row>
    <row r="155" spans="1:18" ht="18.75" customHeight="1">
      <c r="A155" s="8">
        <v>7</v>
      </c>
      <c r="B155" s="16" t="s">
        <v>265</v>
      </c>
      <c r="C155" s="2" t="s">
        <v>150</v>
      </c>
      <c r="D155" s="8" t="s">
        <v>225</v>
      </c>
      <c r="E155" s="70">
        <v>330407.08333333302</v>
      </c>
      <c r="F155" s="8" t="s">
        <v>99</v>
      </c>
      <c r="G155" s="186">
        <v>338711.66666666698</v>
      </c>
      <c r="H155" s="186">
        <f t="shared" si="51"/>
        <v>8304.5833333339506</v>
      </c>
      <c r="I155" s="70">
        <v>26432.566666666698</v>
      </c>
      <c r="J155" s="70">
        <f t="shared" si="49"/>
        <v>27096.9333333334</v>
      </c>
      <c r="K155" s="70">
        <f t="shared" si="50"/>
        <v>664.36666666670101</v>
      </c>
      <c r="L155" s="70">
        <f t="shared" si="44"/>
        <v>325163.200000001</v>
      </c>
      <c r="M155" s="8" t="s">
        <v>99</v>
      </c>
      <c r="N155" s="853">
        <v>217733.41666666701</v>
      </c>
      <c r="O155" s="853">
        <f>N155*0.025</f>
        <v>5443.3354166666804</v>
      </c>
      <c r="P155" s="70">
        <v>5319.8</v>
      </c>
      <c r="Q155" s="853">
        <f t="shared" si="45"/>
        <v>123.535416666676</v>
      </c>
      <c r="R155" s="853">
        <f t="shared" si="46"/>
        <v>65320.025000000103</v>
      </c>
    </row>
    <row r="156" spans="1:18" ht="20.100000000000001" customHeight="1">
      <c r="A156" s="8">
        <v>8</v>
      </c>
      <c r="B156" s="16" t="s">
        <v>266</v>
      </c>
      <c r="C156" s="10" t="s">
        <v>267</v>
      </c>
      <c r="D156" s="13" t="s">
        <v>277</v>
      </c>
      <c r="E156" s="70">
        <v>287890.91666666698</v>
      </c>
      <c r="F156" s="13" t="s">
        <v>111</v>
      </c>
      <c r="G156" s="70">
        <v>294900.83333333401</v>
      </c>
      <c r="H156" s="186">
        <f t="shared" si="51"/>
        <v>7009.9166666670399</v>
      </c>
      <c r="I156" s="639">
        <v>23031.273333333302</v>
      </c>
      <c r="J156" s="70">
        <f t="shared" si="49"/>
        <v>23592.066666666698</v>
      </c>
      <c r="K156" s="70">
        <f t="shared" si="50"/>
        <v>560.79333333339696</v>
      </c>
      <c r="L156" s="70">
        <f t="shared" si="44"/>
        <v>283104.8</v>
      </c>
      <c r="M156" s="13" t="s">
        <v>111</v>
      </c>
      <c r="N156" s="853">
        <v>192179.41666666701</v>
      </c>
      <c r="O156" s="853">
        <f>N156*0.025</f>
        <v>4804.4854166666801</v>
      </c>
      <c r="P156" s="1">
        <v>4699.8599999999997</v>
      </c>
      <c r="Q156" s="853">
        <f t="shared" si="45"/>
        <v>104.625416666676</v>
      </c>
      <c r="R156" s="853">
        <f t="shared" si="46"/>
        <v>57653.825000000099</v>
      </c>
    </row>
    <row r="157" spans="1:18" ht="24.75" customHeight="1">
      <c r="A157" s="2"/>
      <c r="B157" s="18" t="s">
        <v>120</v>
      </c>
      <c r="C157" s="19">
        <v>8</v>
      </c>
      <c r="D157" s="24"/>
      <c r="E157" s="78">
        <f t="shared" ref="E157:K157" si="52">SUM(E149:E156)</f>
        <v>3261724</v>
      </c>
      <c r="F157" s="78"/>
      <c r="G157" s="78">
        <f t="shared" si="52"/>
        <v>3337668.33333334</v>
      </c>
      <c r="H157" s="78">
        <f t="shared" si="52"/>
        <v>75944.333333336603</v>
      </c>
      <c r="I157" s="78">
        <f t="shared" si="52"/>
        <v>260937.92</v>
      </c>
      <c r="J157" s="78">
        <f t="shared" si="52"/>
        <v>229507.21333333399</v>
      </c>
      <c r="K157" s="78">
        <f t="shared" si="52"/>
        <v>-31430.7066666666</v>
      </c>
      <c r="L157" s="78">
        <f t="shared" ref="L157:R157" si="53">SUM(L149:L156)</f>
        <v>2754086.56</v>
      </c>
      <c r="M157" s="78">
        <f t="shared" si="53"/>
        <v>0</v>
      </c>
      <c r="N157" s="78">
        <f t="shared" si="53"/>
        <v>2114866.25</v>
      </c>
      <c r="O157" s="78">
        <f t="shared" si="53"/>
        <v>34355.187500000102</v>
      </c>
      <c r="P157" s="78">
        <f t="shared" si="53"/>
        <v>33551.03</v>
      </c>
      <c r="Q157" s="78">
        <f t="shared" si="53"/>
        <v>804.15750000004698</v>
      </c>
      <c r="R157" s="78">
        <f t="shared" si="53"/>
        <v>412262.25</v>
      </c>
    </row>
    <row r="158" spans="1:18" ht="24.75" customHeight="1">
      <c r="A158" s="2"/>
      <c r="B158" s="18"/>
      <c r="C158" s="19"/>
      <c r="D158" s="24"/>
      <c r="E158" s="78"/>
      <c r="F158" s="78"/>
      <c r="G158" s="78"/>
      <c r="H158" s="78"/>
      <c r="I158" s="78"/>
      <c r="J158" s="78"/>
      <c r="K158" s="78"/>
      <c r="L158" s="70"/>
      <c r="M158" s="78"/>
      <c r="N158" s="78"/>
      <c r="O158" s="853"/>
      <c r="P158" s="78"/>
      <c r="Q158" s="853"/>
      <c r="R158" s="853"/>
    </row>
    <row r="159" spans="1:18" ht="24.75" customHeight="1">
      <c r="A159" s="8"/>
      <c r="B159" s="18" t="s">
        <v>268</v>
      </c>
      <c r="C159" s="19"/>
      <c r="D159" s="19"/>
      <c r="E159" s="122"/>
      <c r="F159" s="122"/>
      <c r="G159" s="122"/>
      <c r="H159" s="186"/>
      <c r="I159" s="122"/>
      <c r="J159" s="122"/>
      <c r="K159" s="122"/>
      <c r="L159" s="70"/>
      <c r="M159" s="122"/>
      <c r="N159" s="122"/>
      <c r="O159" s="853"/>
      <c r="P159" s="122"/>
      <c r="Q159" s="853"/>
      <c r="R159" s="853"/>
    </row>
    <row r="160" spans="1:18" ht="20.100000000000001" customHeight="1">
      <c r="A160" s="2">
        <v>1</v>
      </c>
      <c r="B160" s="16" t="s">
        <v>269</v>
      </c>
      <c r="C160" s="10" t="s">
        <v>270</v>
      </c>
      <c r="D160" s="13" t="s">
        <v>81</v>
      </c>
      <c r="E160" s="70">
        <v>372145.33333333302</v>
      </c>
      <c r="F160" s="13" t="s">
        <v>75</v>
      </c>
      <c r="G160" s="70">
        <v>381140.66666666599</v>
      </c>
      <c r="H160" s="186">
        <f>G160-E160</f>
        <v>8995.3333333329592</v>
      </c>
      <c r="I160" s="639">
        <v>29771.6266666667</v>
      </c>
      <c r="J160" s="70">
        <f t="shared" ref="J160:J164" si="54">G160*0.08</f>
        <v>30491.253333333301</v>
      </c>
      <c r="K160" s="70">
        <f t="shared" ref="K160:K164" si="55">J160-I160</f>
        <v>719.62666666658004</v>
      </c>
      <c r="L160" s="70">
        <f t="shared" si="44"/>
        <v>365895.04</v>
      </c>
      <c r="M160" s="13" t="s">
        <v>75</v>
      </c>
      <c r="N160" s="853">
        <v>240874.58333333299</v>
      </c>
      <c r="O160" s="853"/>
      <c r="P160" s="2"/>
      <c r="Q160" s="853">
        <f t="shared" si="45"/>
        <v>0</v>
      </c>
      <c r="R160" s="853">
        <f t="shared" si="46"/>
        <v>0</v>
      </c>
    </row>
    <row r="161" spans="1:18" ht="18.75" customHeight="1">
      <c r="A161" s="2">
        <v>2</v>
      </c>
      <c r="B161" s="16" t="s">
        <v>271</v>
      </c>
      <c r="C161" s="2" t="s">
        <v>272</v>
      </c>
      <c r="D161" s="8" t="s">
        <v>225</v>
      </c>
      <c r="E161" s="70">
        <v>330407.08333333302</v>
      </c>
      <c r="F161" s="8" t="s">
        <v>99</v>
      </c>
      <c r="G161" s="70">
        <v>338711.66666666698</v>
      </c>
      <c r="H161" s="186">
        <f>G161-E161</f>
        <v>8304.5833333339506</v>
      </c>
      <c r="I161" s="70">
        <v>26432.566666666698</v>
      </c>
      <c r="J161" s="70">
        <f t="shared" si="54"/>
        <v>27096.9333333334</v>
      </c>
      <c r="K161" s="70">
        <f t="shared" si="55"/>
        <v>664.36666666666099</v>
      </c>
      <c r="L161" s="70">
        <f t="shared" si="44"/>
        <v>325163.200000001</v>
      </c>
      <c r="M161" s="8" t="s">
        <v>99</v>
      </c>
      <c r="N161" s="853">
        <v>217733.41666666701</v>
      </c>
      <c r="O161" s="853"/>
      <c r="P161" s="70"/>
      <c r="Q161" s="853">
        <f t="shared" si="45"/>
        <v>0</v>
      </c>
      <c r="R161" s="853">
        <f t="shared" si="46"/>
        <v>0</v>
      </c>
    </row>
    <row r="162" spans="1:18" ht="24.75" customHeight="1">
      <c r="A162" s="2">
        <v>3</v>
      </c>
      <c r="B162" s="9" t="s">
        <v>273</v>
      </c>
      <c r="C162" s="2" t="s">
        <v>274</v>
      </c>
      <c r="D162" s="8" t="s">
        <v>277</v>
      </c>
      <c r="E162" s="70">
        <v>287890.91666666698</v>
      </c>
      <c r="F162" s="8" t="s">
        <v>111</v>
      </c>
      <c r="G162" s="70">
        <v>294900.83333333401</v>
      </c>
      <c r="H162" s="186">
        <f>G162-E162</f>
        <v>7009.9166666670399</v>
      </c>
      <c r="I162" s="70">
        <v>23031.2733333334</v>
      </c>
      <c r="J162" s="70">
        <f t="shared" si="54"/>
        <v>23592.066666666698</v>
      </c>
      <c r="K162" s="70">
        <f t="shared" si="55"/>
        <v>560.79333333331999</v>
      </c>
      <c r="L162" s="70">
        <f t="shared" si="44"/>
        <v>283104.8</v>
      </c>
      <c r="M162" s="8" t="s">
        <v>111</v>
      </c>
      <c r="N162" s="853">
        <v>192179.41666666701</v>
      </c>
      <c r="O162" s="853"/>
      <c r="P162" s="70"/>
      <c r="Q162" s="853">
        <f t="shared" si="45"/>
        <v>0</v>
      </c>
      <c r="R162" s="853">
        <f t="shared" si="46"/>
        <v>0</v>
      </c>
    </row>
    <row r="163" spans="1:18" ht="20.100000000000001" customHeight="1">
      <c r="A163" s="2">
        <v>4</v>
      </c>
      <c r="B163" s="16" t="s">
        <v>275</v>
      </c>
      <c r="C163" s="10" t="s">
        <v>276</v>
      </c>
      <c r="D163" s="13" t="s">
        <v>277</v>
      </c>
      <c r="E163" s="70">
        <v>287890.91666666698</v>
      </c>
      <c r="F163" s="13" t="s">
        <v>277</v>
      </c>
      <c r="G163" s="70">
        <v>287890.91666666698</v>
      </c>
      <c r="H163" s="186">
        <f>G163-E163</f>
        <v>0</v>
      </c>
      <c r="I163" s="227">
        <v>23031.273333333302</v>
      </c>
      <c r="J163" s="70">
        <f t="shared" si="54"/>
        <v>23031.2733333334</v>
      </c>
      <c r="K163" s="70">
        <f t="shared" si="55"/>
        <v>5.8207660913467401E-11</v>
      </c>
      <c r="L163" s="70">
        <f t="shared" si="44"/>
        <v>276375.28000000102</v>
      </c>
      <c r="M163" s="13" t="s">
        <v>277</v>
      </c>
      <c r="N163" s="853">
        <v>187994.41666666701</v>
      </c>
      <c r="O163" s="853"/>
      <c r="P163" s="780"/>
      <c r="Q163" s="853">
        <f t="shared" si="45"/>
        <v>0</v>
      </c>
      <c r="R163" s="853">
        <f t="shared" si="46"/>
        <v>0</v>
      </c>
    </row>
    <row r="164" spans="1:18" ht="24.75" customHeight="1">
      <c r="A164" s="2">
        <v>5</v>
      </c>
      <c r="B164" s="9" t="s">
        <v>278</v>
      </c>
      <c r="C164" s="2" t="s">
        <v>279</v>
      </c>
      <c r="D164" s="8" t="s">
        <v>277</v>
      </c>
      <c r="E164" s="70">
        <v>287890.91666666698</v>
      </c>
      <c r="F164" s="8" t="s">
        <v>111</v>
      </c>
      <c r="G164" s="70">
        <v>294900.83333333401</v>
      </c>
      <c r="H164" s="186">
        <f>G164-E164</f>
        <v>7009.9166666670399</v>
      </c>
      <c r="I164" s="70">
        <v>23031.2733333334</v>
      </c>
      <c r="J164" s="70">
        <f t="shared" si="54"/>
        <v>23592.066666666698</v>
      </c>
      <c r="K164" s="70">
        <f t="shared" si="55"/>
        <v>560.79333333331999</v>
      </c>
      <c r="L164" s="70">
        <f t="shared" si="44"/>
        <v>283104.8</v>
      </c>
      <c r="M164" s="8" t="s">
        <v>111</v>
      </c>
      <c r="N164" s="853">
        <v>192179.41666666701</v>
      </c>
      <c r="O164" s="853"/>
      <c r="P164" s="70"/>
      <c r="Q164" s="853">
        <f t="shared" si="45"/>
        <v>0</v>
      </c>
      <c r="R164" s="853">
        <f t="shared" si="46"/>
        <v>0</v>
      </c>
    </row>
    <row r="165" spans="1:18" ht="20.100000000000001" customHeight="1">
      <c r="A165" s="2"/>
      <c r="B165" s="18" t="s">
        <v>120</v>
      </c>
      <c r="C165" s="19">
        <v>5</v>
      </c>
      <c r="D165" s="24"/>
      <c r="E165" s="78">
        <f t="shared" ref="E165:K165" si="56">SUM(E160:E164)</f>
        <v>1566225.16666667</v>
      </c>
      <c r="F165" s="78"/>
      <c r="G165" s="78">
        <f t="shared" si="56"/>
        <v>1597544.91666667</v>
      </c>
      <c r="H165" s="78">
        <f t="shared" si="56"/>
        <v>31319.750000001</v>
      </c>
      <c r="I165" s="78">
        <f t="shared" si="56"/>
        <v>125298.01333333401</v>
      </c>
      <c r="J165" s="78">
        <f t="shared" si="56"/>
        <v>127803.593333333</v>
      </c>
      <c r="K165" s="78">
        <f t="shared" si="56"/>
        <v>2505.5799999999399</v>
      </c>
      <c r="L165" s="78">
        <f t="shared" ref="L165:R165" si="57">SUM(L160:L164)</f>
        <v>1533643.12</v>
      </c>
      <c r="M165" s="78">
        <f t="shared" si="57"/>
        <v>0</v>
      </c>
      <c r="N165" s="78">
        <f t="shared" si="57"/>
        <v>1030961.25</v>
      </c>
      <c r="O165" s="78">
        <f t="shared" si="57"/>
        <v>0</v>
      </c>
      <c r="P165" s="78">
        <f t="shared" si="57"/>
        <v>0</v>
      </c>
      <c r="Q165" s="78">
        <f t="shared" si="57"/>
        <v>0</v>
      </c>
      <c r="R165" s="78">
        <f t="shared" si="57"/>
        <v>0</v>
      </c>
    </row>
    <row r="166" spans="1:18" ht="20.100000000000001" customHeight="1">
      <c r="A166" s="2"/>
      <c r="B166" s="18"/>
      <c r="C166" s="19"/>
      <c r="D166" s="24"/>
      <c r="E166" s="78"/>
      <c r="F166" s="78"/>
      <c r="G166" s="78"/>
      <c r="H166" s="78"/>
      <c r="I166" s="78"/>
      <c r="J166" s="78"/>
      <c r="K166" s="78"/>
      <c r="L166" s="70"/>
      <c r="M166" s="78"/>
      <c r="N166" s="78"/>
      <c r="O166" s="853"/>
      <c r="P166" s="78"/>
      <c r="Q166" s="853"/>
      <c r="R166" s="853"/>
    </row>
    <row r="167" spans="1:18" ht="20.100000000000001" customHeight="1">
      <c r="A167" s="2"/>
      <c r="B167" s="18" t="s">
        <v>280</v>
      </c>
      <c r="C167" s="19"/>
      <c r="D167" s="19"/>
      <c r="E167" s="122"/>
      <c r="F167" s="122"/>
      <c r="G167" s="122"/>
      <c r="H167" s="186"/>
      <c r="I167" s="122"/>
      <c r="J167" s="122"/>
      <c r="K167" s="122"/>
      <c r="L167" s="70"/>
      <c r="M167" s="122"/>
      <c r="N167" s="122"/>
      <c r="O167" s="853"/>
      <c r="P167" s="122"/>
      <c r="Q167" s="853"/>
      <c r="R167" s="853"/>
    </row>
    <row r="168" spans="1:18" ht="20.100000000000001" customHeight="1">
      <c r="A168" s="2">
        <v>1</v>
      </c>
      <c r="B168" s="9" t="s">
        <v>281</v>
      </c>
      <c r="C168" s="10" t="s">
        <v>282</v>
      </c>
      <c r="D168" s="13" t="s">
        <v>124</v>
      </c>
      <c r="E168" s="70">
        <v>1747106.41666666</v>
      </c>
      <c r="F168" s="13" t="s">
        <v>124</v>
      </c>
      <c r="G168" s="70">
        <v>1747106.41666666</v>
      </c>
      <c r="H168" s="186">
        <f>G168-E168</f>
        <v>0</v>
      </c>
      <c r="I168" s="70">
        <v>139768.51333333299</v>
      </c>
      <c r="J168" s="70">
        <f t="shared" ref="J168:J179" si="58">G168*0.08</f>
        <v>139768.51333333299</v>
      </c>
      <c r="K168" s="70">
        <f t="shared" ref="K168:K179" si="59">J168-I168</f>
        <v>0</v>
      </c>
      <c r="L168" s="70">
        <f t="shared" si="44"/>
        <v>1677222.16</v>
      </c>
      <c r="M168" s="13" t="s">
        <v>124</v>
      </c>
      <c r="N168" s="853">
        <v>1086777.08333333</v>
      </c>
      <c r="O168" s="853">
        <f>N168*0.025</f>
        <v>27169.427083333299</v>
      </c>
      <c r="P168" s="70">
        <v>27169.427083333299</v>
      </c>
      <c r="Q168" s="853">
        <f t="shared" si="45"/>
        <v>-4.7293724492192301E-11</v>
      </c>
      <c r="R168" s="853">
        <f t="shared" si="46"/>
        <v>326033.12499999901</v>
      </c>
    </row>
    <row r="169" spans="1:18" ht="20.100000000000001" customHeight="1">
      <c r="A169" s="2">
        <v>2</v>
      </c>
      <c r="B169" s="9" t="s">
        <v>283</v>
      </c>
      <c r="C169" s="10" t="s">
        <v>284</v>
      </c>
      <c r="D169" s="13" t="s">
        <v>36</v>
      </c>
      <c r="E169" s="70">
        <v>905306.75</v>
      </c>
      <c r="F169" s="13" t="s">
        <v>36</v>
      </c>
      <c r="G169" s="70">
        <v>905306.75</v>
      </c>
      <c r="H169" s="186">
        <f t="shared" ref="H169:H179" si="60">G169-E169</f>
        <v>0</v>
      </c>
      <c r="I169" s="70">
        <v>72424.539999999994</v>
      </c>
      <c r="J169" s="70">
        <f t="shared" si="58"/>
        <v>72424.539999999994</v>
      </c>
      <c r="K169" s="70">
        <f t="shared" si="59"/>
        <v>0</v>
      </c>
      <c r="L169" s="70">
        <f t="shared" si="44"/>
        <v>869094.48</v>
      </c>
      <c r="M169" s="13" t="s">
        <v>36</v>
      </c>
      <c r="N169" s="853">
        <v>554669.5</v>
      </c>
      <c r="O169" s="853">
        <f>N169*0.025</f>
        <v>13866.737499999999</v>
      </c>
      <c r="P169" s="70">
        <v>13866.737499999999</v>
      </c>
      <c r="Q169" s="853">
        <f t="shared" si="45"/>
        <v>0</v>
      </c>
      <c r="R169" s="853">
        <f t="shared" si="46"/>
        <v>166400.85</v>
      </c>
    </row>
    <row r="170" spans="1:18" ht="20.100000000000001" customHeight="1">
      <c r="A170" s="2">
        <v>3</v>
      </c>
      <c r="B170" s="12" t="s">
        <v>285</v>
      </c>
      <c r="C170" s="10" t="s">
        <v>284</v>
      </c>
      <c r="D170" s="13" t="s">
        <v>209</v>
      </c>
      <c r="E170" s="70">
        <v>879008.91666666698</v>
      </c>
      <c r="F170" s="13" t="s">
        <v>36</v>
      </c>
      <c r="G170" s="70">
        <v>905306.75</v>
      </c>
      <c r="H170" s="186">
        <f t="shared" si="60"/>
        <v>26297.833333333001</v>
      </c>
      <c r="I170" s="70">
        <v>68216.8866666666</v>
      </c>
      <c r="J170" s="70">
        <f t="shared" si="58"/>
        <v>72424.539999999994</v>
      </c>
      <c r="K170" s="70">
        <f t="shared" si="59"/>
        <v>4207.65333333341</v>
      </c>
      <c r="L170" s="70">
        <f t="shared" si="44"/>
        <v>869094.48</v>
      </c>
      <c r="M170" s="13" t="s">
        <v>36</v>
      </c>
      <c r="N170" s="853">
        <v>554669.5</v>
      </c>
      <c r="O170" s="853">
        <f>N170*0.025</f>
        <v>13866.737499999999</v>
      </c>
      <c r="P170" s="70">
        <v>13084.6625</v>
      </c>
      <c r="Q170" s="853">
        <f t="shared" si="45"/>
        <v>782.07500000000095</v>
      </c>
      <c r="R170" s="853">
        <f t="shared" si="46"/>
        <v>166400.85</v>
      </c>
    </row>
    <row r="171" spans="1:18" ht="20.100000000000001" customHeight="1">
      <c r="A171" s="2">
        <v>4</v>
      </c>
      <c r="B171" s="9" t="s">
        <v>286</v>
      </c>
      <c r="C171" s="10" t="s">
        <v>287</v>
      </c>
      <c r="D171" s="13" t="s">
        <v>42</v>
      </c>
      <c r="E171" s="70">
        <v>700713.91666666605</v>
      </c>
      <c r="F171" s="13" t="s">
        <v>50</v>
      </c>
      <c r="G171" s="70">
        <v>722595.5</v>
      </c>
      <c r="H171" s="186">
        <f t="shared" si="60"/>
        <v>21881.583333334002</v>
      </c>
      <c r="I171" s="70">
        <v>56057.113333333298</v>
      </c>
      <c r="J171" s="70">
        <f t="shared" si="58"/>
        <v>57807.64</v>
      </c>
      <c r="K171" s="70">
        <f t="shared" si="59"/>
        <v>1750.5266666667001</v>
      </c>
      <c r="L171" s="70">
        <f t="shared" si="44"/>
        <v>693691.68</v>
      </c>
      <c r="M171" s="13" t="s">
        <v>50</v>
      </c>
      <c r="N171" s="853">
        <v>445995.83333333302</v>
      </c>
      <c r="O171" s="853"/>
      <c r="P171" s="70"/>
      <c r="Q171" s="853">
        <f t="shared" si="45"/>
        <v>0</v>
      </c>
      <c r="R171" s="853">
        <f t="shared" si="46"/>
        <v>0</v>
      </c>
    </row>
    <row r="172" spans="1:18" ht="20.100000000000001" customHeight="1">
      <c r="A172" s="2">
        <v>5</v>
      </c>
      <c r="B172" s="9" t="s">
        <v>288</v>
      </c>
      <c r="C172" s="10" t="s">
        <v>287</v>
      </c>
      <c r="D172" s="13" t="s">
        <v>42</v>
      </c>
      <c r="E172" s="70">
        <v>700713.91666666605</v>
      </c>
      <c r="F172" s="13" t="s">
        <v>42</v>
      </c>
      <c r="G172" s="70">
        <v>700713.91666666605</v>
      </c>
      <c r="H172" s="186">
        <f t="shared" si="60"/>
        <v>0</v>
      </c>
      <c r="I172" s="70">
        <v>56057.113333333298</v>
      </c>
      <c r="J172" s="70">
        <f t="shared" si="58"/>
        <v>56057.113333333298</v>
      </c>
      <c r="K172" s="70">
        <f t="shared" si="59"/>
        <v>0</v>
      </c>
      <c r="L172" s="70">
        <f t="shared" si="44"/>
        <v>672685.36</v>
      </c>
      <c r="M172" s="13" t="s">
        <v>42</v>
      </c>
      <c r="N172" s="853">
        <v>432981.08333333302</v>
      </c>
      <c r="O172" s="853"/>
      <c r="P172" s="70"/>
      <c r="Q172" s="853">
        <f t="shared" si="45"/>
        <v>0</v>
      </c>
      <c r="R172" s="853">
        <f t="shared" si="46"/>
        <v>0</v>
      </c>
    </row>
    <row r="173" spans="1:18" ht="20.100000000000001" customHeight="1">
      <c r="A173" s="2">
        <v>6</v>
      </c>
      <c r="B173" s="9" t="s">
        <v>289</v>
      </c>
      <c r="C173" s="10" t="s">
        <v>290</v>
      </c>
      <c r="D173" s="13" t="s">
        <v>214</v>
      </c>
      <c r="E173" s="70">
        <v>558165.25</v>
      </c>
      <c r="F173" s="13" t="s">
        <v>47</v>
      </c>
      <c r="G173" s="70">
        <v>573911.08333333395</v>
      </c>
      <c r="H173" s="186">
        <f t="shared" si="60"/>
        <v>15745.833333334</v>
      </c>
      <c r="I173" s="70">
        <v>44653.22</v>
      </c>
      <c r="J173" s="70">
        <f t="shared" si="58"/>
        <v>45912.886666666702</v>
      </c>
      <c r="K173" s="70">
        <f t="shared" si="59"/>
        <v>1259.6666666667199</v>
      </c>
      <c r="L173" s="70">
        <f t="shared" si="44"/>
        <v>550954.64</v>
      </c>
      <c r="M173" s="13" t="s">
        <v>47</v>
      </c>
      <c r="N173" s="853">
        <v>357066.66666666698</v>
      </c>
      <c r="O173" s="853">
        <f>N173*0.025</f>
        <v>8926.6666666666806</v>
      </c>
      <c r="P173" s="70">
        <v>8692.8979166666704</v>
      </c>
      <c r="Q173" s="853">
        <f t="shared" si="45"/>
        <v>233.76875000000501</v>
      </c>
      <c r="R173" s="853">
        <f t="shared" si="46"/>
        <v>107120</v>
      </c>
    </row>
    <row r="174" spans="1:18" ht="20.100000000000001" customHeight="1">
      <c r="A174" s="2">
        <v>7</v>
      </c>
      <c r="B174" s="9" t="s">
        <v>291</v>
      </c>
      <c r="C174" s="10" t="s">
        <v>290</v>
      </c>
      <c r="D174" s="13" t="s">
        <v>47</v>
      </c>
      <c r="E174" s="70">
        <v>573911.08333333395</v>
      </c>
      <c r="F174" s="13" t="s">
        <v>191</v>
      </c>
      <c r="G174" s="70">
        <v>589657</v>
      </c>
      <c r="H174" s="186">
        <f t="shared" si="60"/>
        <v>15745.916666666</v>
      </c>
      <c r="I174" s="70">
        <v>45912.886666666702</v>
      </c>
      <c r="J174" s="70">
        <f t="shared" si="58"/>
        <v>47172.56</v>
      </c>
      <c r="K174" s="70">
        <f t="shared" si="59"/>
        <v>1259.6733333333</v>
      </c>
      <c r="L174" s="70">
        <f t="shared" si="44"/>
        <v>566070.72</v>
      </c>
      <c r="M174" s="13" t="s">
        <v>191</v>
      </c>
      <c r="N174" s="853">
        <v>366417.5</v>
      </c>
      <c r="O174" s="853">
        <f>N174*0.025</f>
        <v>9160.4375</v>
      </c>
      <c r="P174" s="70">
        <v>8926.6666666666806</v>
      </c>
      <c r="Q174" s="853">
        <f t="shared" si="45"/>
        <v>233.77083333331899</v>
      </c>
      <c r="R174" s="853">
        <f t="shared" si="46"/>
        <v>109925.25</v>
      </c>
    </row>
    <row r="175" spans="1:18" ht="20.100000000000001" customHeight="1">
      <c r="A175" s="2">
        <v>8</v>
      </c>
      <c r="B175" s="16" t="s">
        <v>292</v>
      </c>
      <c r="C175" s="10" t="s">
        <v>293</v>
      </c>
      <c r="D175" s="13" t="s">
        <v>225</v>
      </c>
      <c r="E175" s="70">
        <v>330407.08333333302</v>
      </c>
      <c r="F175" s="13" t="s">
        <v>99</v>
      </c>
      <c r="G175" s="70">
        <v>338711.66666666698</v>
      </c>
      <c r="H175" s="186">
        <f t="shared" si="60"/>
        <v>8304.5833333339506</v>
      </c>
      <c r="I175" s="639">
        <v>26432.566666666698</v>
      </c>
      <c r="J175" s="70">
        <f t="shared" si="58"/>
        <v>27096.9333333334</v>
      </c>
      <c r="K175" s="70">
        <f t="shared" si="59"/>
        <v>664.36666666666099</v>
      </c>
      <c r="L175" s="70">
        <f t="shared" si="44"/>
        <v>325163.200000001</v>
      </c>
      <c r="M175" s="13" t="s">
        <v>99</v>
      </c>
      <c r="N175" s="853">
        <v>217733.41666666701</v>
      </c>
      <c r="O175" s="853"/>
      <c r="P175" s="2"/>
      <c r="Q175" s="853">
        <f t="shared" si="45"/>
        <v>0</v>
      </c>
      <c r="R175" s="853">
        <f t="shared" si="46"/>
        <v>0</v>
      </c>
    </row>
    <row r="176" spans="1:18" ht="20.100000000000001" customHeight="1">
      <c r="A176" s="2">
        <v>9</v>
      </c>
      <c r="B176" s="9" t="s">
        <v>294</v>
      </c>
      <c r="C176" s="2" t="s">
        <v>295</v>
      </c>
      <c r="D176" s="13" t="s">
        <v>81</v>
      </c>
      <c r="E176" s="70">
        <v>372145.33333333302</v>
      </c>
      <c r="F176" s="13" t="s">
        <v>81</v>
      </c>
      <c r="G176" s="70">
        <v>372145.33333333302</v>
      </c>
      <c r="H176" s="186">
        <f t="shared" si="60"/>
        <v>0</v>
      </c>
      <c r="I176" s="70">
        <v>29771.6266666667</v>
      </c>
      <c r="J176" s="70">
        <f t="shared" si="58"/>
        <v>29771.626666666602</v>
      </c>
      <c r="K176" s="70">
        <f t="shared" si="59"/>
        <v>-5.8207660913467401E-11</v>
      </c>
      <c r="L176" s="70">
        <f t="shared" si="44"/>
        <v>357259.51999999903</v>
      </c>
      <c r="M176" s="13" t="s">
        <v>81</v>
      </c>
      <c r="N176" s="853">
        <f>'[2] FGN 2024 MGT Monthly'!$H$39</f>
        <v>235577.83333333299</v>
      </c>
      <c r="O176" s="853"/>
      <c r="P176" s="70"/>
      <c r="Q176" s="853">
        <f t="shared" si="45"/>
        <v>0</v>
      </c>
      <c r="R176" s="853">
        <f t="shared" si="46"/>
        <v>0</v>
      </c>
    </row>
    <row r="177" spans="1:18" ht="20.100000000000001" customHeight="1">
      <c r="A177" s="2">
        <v>10</v>
      </c>
      <c r="B177" s="16" t="s">
        <v>296</v>
      </c>
      <c r="C177" s="10" t="s">
        <v>297</v>
      </c>
      <c r="D177" s="13" t="s">
        <v>108</v>
      </c>
      <c r="E177" s="70">
        <v>301910.75</v>
      </c>
      <c r="F177" s="13" t="s">
        <v>105</v>
      </c>
      <c r="G177" s="70">
        <v>308920.66666666698</v>
      </c>
      <c r="H177" s="186">
        <f t="shared" si="60"/>
        <v>7009.9166666669798</v>
      </c>
      <c r="I177" s="70">
        <v>24152.86</v>
      </c>
      <c r="J177" s="70">
        <f t="shared" si="58"/>
        <v>24713.653333333401</v>
      </c>
      <c r="K177" s="70">
        <f t="shared" si="59"/>
        <v>560.79333333335705</v>
      </c>
      <c r="L177" s="70">
        <f t="shared" si="44"/>
        <v>296563.84000000102</v>
      </c>
      <c r="M177" s="13" t="s">
        <v>105</v>
      </c>
      <c r="N177" s="853">
        <v>200549.41666666701</v>
      </c>
      <c r="O177" s="853">
        <f>N177*0.025</f>
        <v>5013.7354166666801</v>
      </c>
      <c r="P177" s="860">
        <v>4909.1104166666801</v>
      </c>
      <c r="Q177" s="853">
        <f t="shared" si="45"/>
        <v>104.624999999995</v>
      </c>
      <c r="R177" s="853">
        <f t="shared" si="46"/>
        <v>60164.825000000099</v>
      </c>
    </row>
    <row r="178" spans="1:18" ht="20.100000000000001" customHeight="1">
      <c r="A178" s="2">
        <v>11</v>
      </c>
      <c r="B178" s="16" t="s">
        <v>298</v>
      </c>
      <c r="C178" s="10" t="s">
        <v>293</v>
      </c>
      <c r="D178" s="13" t="s">
        <v>108</v>
      </c>
      <c r="E178" s="70">
        <v>301910.75</v>
      </c>
      <c r="F178" s="13" t="s">
        <v>105</v>
      </c>
      <c r="G178" s="70">
        <v>308920.66666666698</v>
      </c>
      <c r="H178" s="186">
        <f t="shared" si="60"/>
        <v>7009.9166666669798</v>
      </c>
      <c r="I178" s="70">
        <v>24152.86</v>
      </c>
      <c r="J178" s="70">
        <f t="shared" si="58"/>
        <v>24713.653333333401</v>
      </c>
      <c r="K178" s="70">
        <f t="shared" si="59"/>
        <v>560.79333333335705</v>
      </c>
      <c r="L178" s="70">
        <f t="shared" si="44"/>
        <v>296563.84000000102</v>
      </c>
      <c r="M178" s="13" t="s">
        <v>105</v>
      </c>
      <c r="N178" s="853">
        <v>200549.41666666701</v>
      </c>
      <c r="O178" s="853">
        <f>N178*0.025</f>
        <v>5013.7354166666801</v>
      </c>
      <c r="P178" s="860">
        <v>4909.1104166666801</v>
      </c>
      <c r="Q178" s="853">
        <f t="shared" si="45"/>
        <v>104.624999999995</v>
      </c>
      <c r="R178" s="853">
        <f t="shared" si="46"/>
        <v>60164.825000000099</v>
      </c>
    </row>
    <row r="179" spans="1:18" ht="20.100000000000001" customHeight="1">
      <c r="A179" s="2">
        <v>12</v>
      </c>
      <c r="B179" s="16" t="s">
        <v>299</v>
      </c>
      <c r="C179" s="10" t="s">
        <v>297</v>
      </c>
      <c r="D179" s="13" t="s">
        <v>111</v>
      </c>
      <c r="E179" s="883">
        <v>294900.83333333401</v>
      </c>
      <c r="F179" s="13" t="s">
        <v>108</v>
      </c>
      <c r="G179" s="70">
        <v>301910.75</v>
      </c>
      <c r="H179" s="186">
        <f t="shared" si="60"/>
        <v>7009.9166666659903</v>
      </c>
      <c r="I179" s="639">
        <v>23592.066666666698</v>
      </c>
      <c r="J179" s="70">
        <f t="shared" si="58"/>
        <v>24152.86</v>
      </c>
      <c r="K179" s="70">
        <f t="shared" si="59"/>
        <v>560.79333333330203</v>
      </c>
      <c r="L179" s="70">
        <f t="shared" si="44"/>
        <v>289834.32</v>
      </c>
      <c r="M179" s="13" t="s">
        <v>108</v>
      </c>
      <c r="N179" s="853">
        <v>196364.41666666701</v>
      </c>
      <c r="O179" s="853">
        <f>N179*0.025</f>
        <v>4909.1104166666801</v>
      </c>
      <c r="P179" s="860">
        <v>4804.4854166666801</v>
      </c>
      <c r="Q179" s="853">
        <f t="shared" si="45"/>
        <v>104.624999999995</v>
      </c>
      <c r="R179" s="853">
        <f t="shared" si="46"/>
        <v>58909.325000000099</v>
      </c>
    </row>
    <row r="180" spans="1:18" ht="28.5" customHeight="1">
      <c r="A180" s="2"/>
      <c r="B180" s="18" t="s">
        <v>120</v>
      </c>
      <c r="C180" s="24" t="s">
        <v>300</v>
      </c>
      <c r="D180" s="13"/>
      <c r="E180" s="187">
        <f t="shared" ref="E180:K180" si="61">SUM(E168:E179)</f>
        <v>7666200.9999999898</v>
      </c>
      <c r="F180" s="187"/>
      <c r="G180" s="187">
        <f t="shared" si="61"/>
        <v>7775206.4999999898</v>
      </c>
      <c r="H180" s="187">
        <f t="shared" si="61"/>
        <v>109005.500000001</v>
      </c>
      <c r="I180" s="187">
        <f t="shared" si="61"/>
        <v>611192.25333333295</v>
      </c>
      <c r="J180" s="187">
        <f t="shared" si="61"/>
        <v>622016.51999999897</v>
      </c>
      <c r="K180" s="187">
        <f t="shared" si="61"/>
        <v>10824.266666666699</v>
      </c>
      <c r="L180" s="187">
        <f t="shared" ref="L180:R180" si="62">SUM(L168:L179)</f>
        <v>7464198.2400000002</v>
      </c>
      <c r="M180" s="187">
        <f t="shared" si="62"/>
        <v>0</v>
      </c>
      <c r="N180" s="187">
        <f t="shared" si="62"/>
        <v>4849351.6666666605</v>
      </c>
      <c r="O180" s="187">
        <f t="shared" si="62"/>
        <v>87926.587499999994</v>
      </c>
      <c r="P180" s="187">
        <f t="shared" si="62"/>
        <v>86363.097916666695</v>
      </c>
      <c r="Q180" s="187">
        <f t="shared" si="62"/>
        <v>1563.48958333326</v>
      </c>
      <c r="R180" s="187">
        <f t="shared" si="62"/>
        <v>1055119.05</v>
      </c>
    </row>
    <row r="181" spans="1:18" ht="20.100000000000001" customHeight="1">
      <c r="A181" s="2"/>
      <c r="B181" s="20"/>
      <c r="C181" s="24"/>
      <c r="D181" s="13"/>
      <c r="E181" s="122"/>
      <c r="F181" s="122"/>
      <c r="G181" s="122"/>
      <c r="H181" s="186"/>
      <c r="I181" s="122"/>
      <c r="J181" s="122"/>
      <c r="K181" s="122"/>
      <c r="L181" s="70"/>
      <c r="M181" s="122"/>
      <c r="N181" s="122"/>
      <c r="O181" s="853"/>
      <c r="P181" s="122"/>
      <c r="Q181" s="853"/>
      <c r="R181" s="853"/>
    </row>
    <row r="182" spans="1:18" ht="20.100000000000001" customHeight="1">
      <c r="A182" s="2"/>
      <c r="B182" s="18" t="s">
        <v>301</v>
      </c>
      <c r="C182" s="10"/>
      <c r="D182" s="13"/>
      <c r="E182" s="70"/>
      <c r="F182" s="70"/>
      <c r="G182" s="70"/>
      <c r="H182" s="186"/>
      <c r="I182" s="70"/>
      <c r="J182" s="70"/>
      <c r="K182" s="70"/>
      <c r="L182" s="70"/>
      <c r="M182" s="70"/>
      <c r="N182" s="70"/>
      <c r="O182" s="853"/>
      <c r="P182" s="70"/>
      <c r="Q182" s="853"/>
      <c r="R182" s="853"/>
    </row>
    <row r="183" spans="1:18" ht="20.100000000000001" customHeight="1">
      <c r="A183" s="25">
        <v>1</v>
      </c>
      <c r="B183" s="12" t="s">
        <v>302</v>
      </c>
      <c r="C183" s="2" t="s">
        <v>303</v>
      </c>
      <c r="D183" s="8" t="s">
        <v>580</v>
      </c>
      <c r="E183" s="70">
        <v>1647612</v>
      </c>
      <c r="F183" s="8" t="s">
        <v>304</v>
      </c>
      <c r="G183" s="70">
        <v>1697359.33333333</v>
      </c>
      <c r="H183" s="186">
        <f>G183-E183</f>
        <v>49747.333333330003</v>
      </c>
      <c r="I183" s="70">
        <v>131808.95999999999</v>
      </c>
      <c r="J183" s="70">
        <f t="shared" ref="J183:J246" si="63">G183*0.08</f>
        <v>135788.746666666</v>
      </c>
      <c r="K183" s="70">
        <f t="shared" ref="K183:K246" si="64">J183-I183</f>
        <v>3979.7866666660102</v>
      </c>
      <c r="L183" s="70">
        <f t="shared" si="44"/>
        <v>1629464.96</v>
      </c>
      <c r="M183" s="8" t="s">
        <v>304</v>
      </c>
      <c r="N183" s="853">
        <v>1056272.83333333</v>
      </c>
      <c r="O183" s="853">
        <f>N183*0.025</f>
        <v>26406.820833333299</v>
      </c>
      <c r="P183" s="70">
        <v>25644.208333333299</v>
      </c>
      <c r="Q183" s="853">
        <f t="shared" si="45"/>
        <v>762.61249999995198</v>
      </c>
      <c r="R183" s="853">
        <f t="shared" si="46"/>
        <v>316881.84999999899</v>
      </c>
    </row>
    <row r="184" spans="1:18" ht="20.100000000000001" customHeight="1">
      <c r="A184" s="25">
        <v>2</v>
      </c>
      <c r="B184" s="12" t="s">
        <v>305</v>
      </c>
      <c r="C184" s="2" t="s">
        <v>306</v>
      </c>
      <c r="D184" s="14" t="s">
        <v>36</v>
      </c>
      <c r="E184" s="70">
        <v>905306.75</v>
      </c>
      <c r="F184" s="14" t="s">
        <v>36</v>
      </c>
      <c r="G184" s="70">
        <v>905306.75</v>
      </c>
      <c r="H184" s="186">
        <f t="shared" ref="H184:H214" si="65">G184-E184</f>
        <v>0</v>
      </c>
      <c r="I184" s="70">
        <v>72424.539999999994</v>
      </c>
      <c r="J184" s="70">
        <f t="shared" si="63"/>
        <v>72424.539999999994</v>
      </c>
      <c r="K184" s="70">
        <f t="shared" si="64"/>
        <v>0</v>
      </c>
      <c r="L184" s="70">
        <f t="shared" si="44"/>
        <v>869094.48</v>
      </c>
      <c r="M184" s="14" t="s">
        <v>36</v>
      </c>
      <c r="N184" s="853">
        <v>554669.5</v>
      </c>
      <c r="O184" s="853">
        <f>N184*0.025</f>
        <v>13866.737499999999</v>
      </c>
      <c r="P184" s="70">
        <v>13866.737499999999</v>
      </c>
      <c r="Q184" s="853">
        <f t="shared" si="45"/>
        <v>0</v>
      </c>
      <c r="R184" s="853">
        <f t="shared" si="46"/>
        <v>166400.85</v>
      </c>
    </row>
    <row r="185" spans="1:18" ht="20.100000000000001" customHeight="1">
      <c r="A185" s="25">
        <v>3</v>
      </c>
      <c r="B185" s="9" t="s">
        <v>307</v>
      </c>
      <c r="C185" s="10" t="s">
        <v>308</v>
      </c>
      <c r="D185" s="13" t="s">
        <v>42</v>
      </c>
      <c r="E185" s="70">
        <v>700713.91666666605</v>
      </c>
      <c r="F185" s="13" t="s">
        <v>50</v>
      </c>
      <c r="G185" s="70">
        <v>722595.5</v>
      </c>
      <c r="H185" s="186">
        <f t="shared" si="65"/>
        <v>21881.583333334002</v>
      </c>
      <c r="I185" s="70">
        <v>56057.113333333298</v>
      </c>
      <c r="J185" s="70">
        <f t="shared" si="63"/>
        <v>57807.64</v>
      </c>
      <c r="K185" s="70">
        <f t="shared" si="64"/>
        <v>1750.5266666667001</v>
      </c>
      <c r="L185" s="70">
        <f t="shared" si="44"/>
        <v>693691.68</v>
      </c>
      <c r="M185" s="13" t="s">
        <v>50</v>
      </c>
      <c r="N185" s="853">
        <v>445995.83333333302</v>
      </c>
      <c r="O185" s="853">
        <f>N185*0.025</f>
        <v>11149.895833333299</v>
      </c>
      <c r="P185" s="70">
        <v>10824.5270833333</v>
      </c>
      <c r="Q185" s="853">
        <f t="shared" si="45"/>
        <v>325.36875000002698</v>
      </c>
      <c r="R185" s="853">
        <f t="shared" si="46"/>
        <v>133798.75</v>
      </c>
    </row>
    <row r="186" spans="1:18" ht="20.100000000000001" customHeight="1">
      <c r="A186" s="25">
        <v>4</v>
      </c>
      <c r="B186" s="9" t="s">
        <v>309</v>
      </c>
      <c r="C186" s="2" t="s">
        <v>310</v>
      </c>
      <c r="D186" s="13" t="s">
        <v>42</v>
      </c>
      <c r="E186" s="70">
        <v>700713.91666666605</v>
      </c>
      <c r="F186" s="13" t="s">
        <v>50</v>
      </c>
      <c r="G186" s="70">
        <v>722595.5</v>
      </c>
      <c r="H186" s="186">
        <f t="shared" si="65"/>
        <v>21881.583333334002</v>
      </c>
      <c r="I186" s="70">
        <v>56057.113333333298</v>
      </c>
      <c r="J186" s="70">
        <f t="shared" si="63"/>
        <v>57807.64</v>
      </c>
      <c r="K186" s="70">
        <f t="shared" si="64"/>
        <v>1750.5266666667001</v>
      </c>
      <c r="L186" s="70">
        <f t="shared" si="44"/>
        <v>693691.68</v>
      </c>
      <c r="M186" s="13" t="s">
        <v>50</v>
      </c>
      <c r="N186" s="853">
        <v>445995.83333333302</v>
      </c>
      <c r="O186" s="853">
        <f>N186*0.025</f>
        <v>11149.895833333299</v>
      </c>
      <c r="P186" s="70">
        <v>10824.5270833333</v>
      </c>
      <c r="Q186" s="853">
        <f t="shared" si="45"/>
        <v>325.36875000002698</v>
      </c>
      <c r="R186" s="853">
        <f t="shared" si="46"/>
        <v>133798.75</v>
      </c>
    </row>
    <row r="187" spans="1:18" ht="20.100000000000001" customHeight="1">
      <c r="A187" s="25">
        <v>5</v>
      </c>
      <c r="B187" s="9" t="s">
        <v>311</v>
      </c>
      <c r="C187" s="2" t="s">
        <v>310</v>
      </c>
      <c r="D187" s="13" t="s">
        <v>42</v>
      </c>
      <c r="E187" s="70">
        <v>700713.91666666605</v>
      </c>
      <c r="F187" s="13" t="s">
        <v>50</v>
      </c>
      <c r="G187" s="70">
        <v>722595.5</v>
      </c>
      <c r="H187" s="186">
        <f t="shared" si="65"/>
        <v>21881.583333334002</v>
      </c>
      <c r="I187" s="70">
        <v>56057.113333333298</v>
      </c>
      <c r="J187" s="70">
        <f t="shared" si="63"/>
        <v>57807.64</v>
      </c>
      <c r="K187" s="70">
        <f t="shared" si="64"/>
        <v>1750.5266666667001</v>
      </c>
      <c r="L187" s="70">
        <f t="shared" si="44"/>
        <v>693691.68</v>
      </c>
      <c r="M187" s="13" t="s">
        <v>50</v>
      </c>
      <c r="N187" s="853">
        <v>445995.83333333302</v>
      </c>
      <c r="O187" s="853">
        <f>N187*0.025</f>
        <v>11149.895833333299</v>
      </c>
      <c r="P187" s="70">
        <v>10824.5270833333</v>
      </c>
      <c r="Q187" s="853">
        <f t="shared" si="45"/>
        <v>325.36875000002698</v>
      </c>
      <c r="R187" s="853">
        <f t="shared" si="46"/>
        <v>133798.75</v>
      </c>
    </row>
    <row r="188" spans="1:18" ht="20.100000000000001" customHeight="1">
      <c r="A188" s="25">
        <v>6</v>
      </c>
      <c r="B188" s="9" t="s">
        <v>312</v>
      </c>
      <c r="C188" s="2" t="s">
        <v>313</v>
      </c>
      <c r="D188" s="8" t="s">
        <v>574</v>
      </c>
      <c r="E188" s="70">
        <v>542419.5</v>
      </c>
      <c r="F188" s="8" t="s">
        <v>53</v>
      </c>
      <c r="G188" s="70">
        <v>542419.5</v>
      </c>
      <c r="H188" s="186">
        <f t="shared" si="65"/>
        <v>0</v>
      </c>
      <c r="I188" s="70">
        <v>42133.886666666702</v>
      </c>
      <c r="J188" s="70">
        <f t="shared" si="63"/>
        <v>43393.56</v>
      </c>
      <c r="K188" s="70">
        <f t="shared" si="64"/>
        <v>1259.6733333333</v>
      </c>
      <c r="L188" s="70">
        <f t="shared" si="44"/>
        <v>520722.72</v>
      </c>
      <c r="M188" s="8" t="s">
        <v>53</v>
      </c>
      <c r="N188" s="853">
        <v>338365.25</v>
      </c>
      <c r="O188" s="853"/>
      <c r="P188" s="70"/>
      <c r="Q188" s="853">
        <f t="shared" si="45"/>
        <v>0</v>
      </c>
      <c r="R188" s="853">
        <f t="shared" si="46"/>
        <v>0</v>
      </c>
    </row>
    <row r="189" spans="1:18" ht="20.100000000000001" customHeight="1">
      <c r="A189" s="25">
        <v>7</v>
      </c>
      <c r="B189" s="9" t="s">
        <v>314</v>
      </c>
      <c r="C189" s="10" t="s">
        <v>232</v>
      </c>
      <c r="D189" s="13" t="s">
        <v>67</v>
      </c>
      <c r="E189" s="70">
        <v>482846.58333333401</v>
      </c>
      <c r="F189" s="13" t="s">
        <v>64</v>
      </c>
      <c r="G189" s="70">
        <v>497472.75</v>
      </c>
      <c r="H189" s="186">
        <f t="shared" si="65"/>
        <v>14626.166666666</v>
      </c>
      <c r="I189" s="70">
        <v>39797.82</v>
      </c>
      <c r="J189" s="70">
        <f t="shared" si="63"/>
        <v>39797.82</v>
      </c>
      <c r="K189" s="70">
        <f t="shared" si="64"/>
        <v>0</v>
      </c>
      <c r="L189" s="70">
        <f t="shared" si="44"/>
        <v>477573.84</v>
      </c>
      <c r="M189" s="13" t="s">
        <v>64</v>
      </c>
      <c r="N189" s="853">
        <v>311673.25</v>
      </c>
      <c r="O189" s="853"/>
      <c r="P189" s="70"/>
      <c r="Q189" s="853">
        <f t="shared" si="45"/>
        <v>0</v>
      </c>
      <c r="R189" s="853">
        <f t="shared" si="46"/>
        <v>0</v>
      </c>
    </row>
    <row r="190" spans="1:18" ht="20.100000000000001" customHeight="1">
      <c r="A190" s="25">
        <v>8</v>
      </c>
      <c r="B190" s="9" t="s">
        <v>315</v>
      </c>
      <c r="C190" s="2" t="s">
        <v>316</v>
      </c>
      <c r="D190" s="13" t="s">
        <v>67</v>
      </c>
      <c r="E190" s="70">
        <v>482846.58333333401</v>
      </c>
      <c r="F190" s="13" t="s">
        <v>64</v>
      </c>
      <c r="G190" s="70">
        <v>497472.75</v>
      </c>
      <c r="H190" s="186">
        <f t="shared" si="65"/>
        <v>14626.166666666</v>
      </c>
      <c r="I190" s="70">
        <v>38627.726666666698</v>
      </c>
      <c r="J190" s="70">
        <f t="shared" si="63"/>
        <v>39797.82</v>
      </c>
      <c r="K190" s="70">
        <f t="shared" si="64"/>
        <v>1170.0933333333001</v>
      </c>
      <c r="L190" s="70">
        <f t="shared" si="44"/>
        <v>477573.84</v>
      </c>
      <c r="M190" s="13" t="s">
        <v>64</v>
      </c>
      <c r="N190" s="853">
        <v>311673.25</v>
      </c>
      <c r="O190" s="853"/>
      <c r="P190" s="70"/>
      <c r="Q190" s="853">
        <f t="shared" si="45"/>
        <v>0</v>
      </c>
      <c r="R190" s="853">
        <f t="shared" si="46"/>
        <v>0</v>
      </c>
    </row>
    <row r="191" spans="1:18" ht="20.100000000000001" customHeight="1">
      <c r="A191" s="25">
        <v>9</v>
      </c>
      <c r="B191" s="9" t="s">
        <v>317</v>
      </c>
      <c r="C191" s="10" t="s">
        <v>318</v>
      </c>
      <c r="D191" s="13" t="s">
        <v>67</v>
      </c>
      <c r="E191" s="70">
        <v>482846.58333333401</v>
      </c>
      <c r="F191" s="13" t="s">
        <v>67</v>
      </c>
      <c r="G191" s="70">
        <v>482846.58333333401</v>
      </c>
      <c r="H191" s="186">
        <f t="shared" si="65"/>
        <v>0</v>
      </c>
      <c r="I191" s="70">
        <v>38613.013333333402</v>
      </c>
      <c r="J191" s="70">
        <f t="shared" si="63"/>
        <v>38627.726666666698</v>
      </c>
      <c r="K191" s="70">
        <f t="shared" si="64"/>
        <v>14.7133333332968</v>
      </c>
      <c r="L191" s="70">
        <f t="shared" si="44"/>
        <v>463532.72000000102</v>
      </c>
      <c r="M191" s="13" t="s">
        <v>67</v>
      </c>
      <c r="N191" s="853">
        <v>302987.41666666698</v>
      </c>
      <c r="O191" s="853"/>
      <c r="P191" s="70"/>
      <c r="Q191" s="853">
        <f t="shared" si="45"/>
        <v>0</v>
      </c>
      <c r="R191" s="853">
        <f t="shared" si="46"/>
        <v>0</v>
      </c>
    </row>
    <row r="192" spans="1:18" ht="20.100000000000001" customHeight="1">
      <c r="A192" s="25">
        <v>10</v>
      </c>
      <c r="B192" s="9" t="s">
        <v>319</v>
      </c>
      <c r="C192" s="10" t="s">
        <v>320</v>
      </c>
      <c r="D192" s="13" t="s">
        <v>70</v>
      </c>
      <c r="E192" s="70">
        <v>468828.16666666698</v>
      </c>
      <c r="F192" s="13" t="s">
        <v>172</v>
      </c>
      <c r="G192" s="70">
        <v>482662.66666666698</v>
      </c>
      <c r="H192" s="186">
        <f t="shared" si="65"/>
        <v>13834.5</v>
      </c>
      <c r="I192" s="70">
        <v>37506.253333333399</v>
      </c>
      <c r="J192" s="70">
        <f t="shared" si="63"/>
        <v>38613.013333333402</v>
      </c>
      <c r="K192" s="70">
        <f t="shared" si="64"/>
        <v>1106.76</v>
      </c>
      <c r="L192" s="70">
        <f t="shared" si="44"/>
        <v>463356.15999999997</v>
      </c>
      <c r="M192" s="13" t="s">
        <v>172</v>
      </c>
      <c r="N192" s="853">
        <v>302878.66666666698</v>
      </c>
      <c r="O192" s="853">
        <f>N192*0.025</f>
        <v>7571.9666666666699</v>
      </c>
      <c r="P192" s="70">
        <v>7366.5729166666797</v>
      </c>
      <c r="Q192" s="853">
        <f t="shared" si="45"/>
        <v>205.39374999999501</v>
      </c>
      <c r="R192" s="853">
        <f t="shared" si="46"/>
        <v>90863.600000000093</v>
      </c>
    </row>
    <row r="193" spans="1:18" ht="20.100000000000001" customHeight="1">
      <c r="A193" s="25">
        <v>11</v>
      </c>
      <c r="B193" s="16" t="s">
        <v>321</v>
      </c>
      <c r="C193" s="2" t="s">
        <v>322</v>
      </c>
      <c r="D193" s="13" t="s">
        <v>131</v>
      </c>
      <c r="E193" s="186">
        <v>454993.58333333302</v>
      </c>
      <c r="F193" s="13" t="s">
        <v>70</v>
      </c>
      <c r="G193" s="70">
        <v>468828.16666666698</v>
      </c>
      <c r="H193" s="186">
        <f t="shared" si="65"/>
        <v>13834.583333334</v>
      </c>
      <c r="I193" s="70">
        <v>36399.486666666598</v>
      </c>
      <c r="J193" s="70">
        <f t="shared" si="63"/>
        <v>37506.253333333399</v>
      </c>
      <c r="K193" s="70">
        <f t="shared" si="64"/>
        <v>1106.7666666667999</v>
      </c>
      <c r="L193" s="70">
        <f t="shared" si="44"/>
        <v>450075.04</v>
      </c>
      <c r="M193" s="13" t="s">
        <v>70</v>
      </c>
      <c r="N193" s="853">
        <v>294662.91666666698</v>
      </c>
      <c r="O193" s="853">
        <f>N193*0.025</f>
        <v>7366.5729166666797</v>
      </c>
      <c r="P193" s="70">
        <v>7161.1770833333303</v>
      </c>
      <c r="Q193" s="853">
        <f t="shared" si="45"/>
        <v>205.395833333345</v>
      </c>
      <c r="R193" s="853">
        <f t="shared" si="46"/>
        <v>88398.875000000102</v>
      </c>
    </row>
    <row r="194" spans="1:18" ht="20.100000000000001" customHeight="1">
      <c r="A194" s="25">
        <v>12</v>
      </c>
      <c r="B194" s="9" t="s">
        <v>323</v>
      </c>
      <c r="C194" s="2" t="s">
        <v>322</v>
      </c>
      <c r="D194" s="13" t="s">
        <v>179</v>
      </c>
      <c r="E194" s="186">
        <v>441159</v>
      </c>
      <c r="F194" s="13" t="s">
        <v>131</v>
      </c>
      <c r="G194" s="186">
        <v>454993.58333333302</v>
      </c>
      <c r="H194" s="186">
        <f t="shared" si="65"/>
        <v>13834.583333332999</v>
      </c>
      <c r="I194" s="70">
        <v>35292.720000000001</v>
      </c>
      <c r="J194" s="70">
        <f t="shared" si="63"/>
        <v>36399.486666666598</v>
      </c>
      <c r="K194" s="70">
        <f t="shared" si="64"/>
        <v>1106.7666666666</v>
      </c>
      <c r="L194" s="70">
        <f t="shared" si="44"/>
        <v>436793.84</v>
      </c>
      <c r="M194" s="13" t="s">
        <v>131</v>
      </c>
      <c r="N194" s="853">
        <v>286447.08333333302</v>
      </c>
      <c r="O194" s="853"/>
      <c r="P194" s="70"/>
      <c r="Q194" s="853">
        <f t="shared" si="45"/>
        <v>0</v>
      </c>
      <c r="R194" s="853">
        <f t="shared" si="46"/>
        <v>0</v>
      </c>
    </row>
    <row r="195" spans="1:18" ht="20.100000000000001" customHeight="1">
      <c r="A195" s="25">
        <v>13</v>
      </c>
      <c r="B195" s="9" t="s">
        <v>324</v>
      </c>
      <c r="C195" s="2" t="s">
        <v>322</v>
      </c>
      <c r="D195" s="13" t="s">
        <v>179</v>
      </c>
      <c r="E195" s="186">
        <v>441159</v>
      </c>
      <c r="F195" s="13" t="s">
        <v>131</v>
      </c>
      <c r="G195" s="186">
        <v>454993.58333333302</v>
      </c>
      <c r="H195" s="186">
        <f t="shared" si="65"/>
        <v>13834.583333332999</v>
      </c>
      <c r="I195" s="70">
        <v>35292.720000000001</v>
      </c>
      <c r="J195" s="70">
        <f t="shared" si="63"/>
        <v>36399.486666666598</v>
      </c>
      <c r="K195" s="70">
        <f t="shared" si="64"/>
        <v>1106.7666666666</v>
      </c>
      <c r="L195" s="70">
        <f t="shared" si="44"/>
        <v>436793.84</v>
      </c>
      <c r="M195" s="13" t="s">
        <v>131</v>
      </c>
      <c r="N195" s="853">
        <v>286447.08333333302</v>
      </c>
      <c r="O195" s="853">
        <f>N195*0.025</f>
        <v>7161.1770833333303</v>
      </c>
      <c r="P195" s="70">
        <v>6955.78125</v>
      </c>
      <c r="Q195" s="853">
        <f t="shared" si="45"/>
        <v>205.39583333332601</v>
      </c>
      <c r="R195" s="853">
        <f t="shared" si="46"/>
        <v>85934.124999999898</v>
      </c>
    </row>
    <row r="196" spans="1:18" ht="20.100000000000001" customHeight="1">
      <c r="A196" s="25">
        <v>14</v>
      </c>
      <c r="B196" s="9" t="s">
        <v>325</v>
      </c>
      <c r="C196" s="2" t="s">
        <v>322</v>
      </c>
      <c r="D196" s="13" t="s">
        <v>179</v>
      </c>
      <c r="E196" s="186">
        <v>441159</v>
      </c>
      <c r="F196" s="13" t="s">
        <v>131</v>
      </c>
      <c r="G196" s="186">
        <v>454993.58333333302</v>
      </c>
      <c r="H196" s="186">
        <f t="shared" si="65"/>
        <v>13834.583333332999</v>
      </c>
      <c r="I196" s="70">
        <v>35292.720000000001</v>
      </c>
      <c r="J196" s="70">
        <f t="shared" si="63"/>
        <v>36399.486666666598</v>
      </c>
      <c r="K196" s="70">
        <f t="shared" si="64"/>
        <v>1106.7666666666</v>
      </c>
      <c r="L196" s="70">
        <f t="shared" si="44"/>
        <v>436793.84</v>
      </c>
      <c r="M196" s="13" t="s">
        <v>131</v>
      </c>
      <c r="N196" s="853">
        <v>286447.08333333302</v>
      </c>
      <c r="O196" s="853">
        <f>N196*0.025</f>
        <v>7161.1770833333303</v>
      </c>
      <c r="P196" s="70">
        <v>6955.78125</v>
      </c>
      <c r="Q196" s="853">
        <f t="shared" si="45"/>
        <v>205.39583333332601</v>
      </c>
      <c r="R196" s="853">
        <f t="shared" si="46"/>
        <v>85934.124999999898</v>
      </c>
    </row>
    <row r="197" spans="1:18" ht="20.100000000000001" customHeight="1">
      <c r="A197" s="25">
        <v>15</v>
      </c>
      <c r="B197" s="9" t="s">
        <v>326</v>
      </c>
      <c r="C197" s="2" t="s">
        <v>322</v>
      </c>
      <c r="D197" s="13" t="s">
        <v>131</v>
      </c>
      <c r="E197" s="186">
        <v>454993.58333333302</v>
      </c>
      <c r="F197" s="13" t="s">
        <v>70</v>
      </c>
      <c r="G197" s="70">
        <v>468828.16666666698</v>
      </c>
      <c r="H197" s="186">
        <f t="shared" si="65"/>
        <v>13834.583333334</v>
      </c>
      <c r="I197" s="70">
        <v>36399.486666666598</v>
      </c>
      <c r="J197" s="70">
        <f t="shared" si="63"/>
        <v>37506.253333333399</v>
      </c>
      <c r="K197" s="70">
        <f t="shared" si="64"/>
        <v>1106.7666666667999</v>
      </c>
      <c r="L197" s="70">
        <f t="shared" si="44"/>
        <v>450075.04</v>
      </c>
      <c r="M197" s="13" t="s">
        <v>70</v>
      </c>
      <c r="N197" s="853">
        <v>294662.91666666698</v>
      </c>
      <c r="O197" s="853"/>
      <c r="P197" s="70"/>
      <c r="Q197" s="853">
        <f t="shared" si="45"/>
        <v>0</v>
      </c>
      <c r="R197" s="853">
        <f t="shared" si="46"/>
        <v>0</v>
      </c>
    </row>
    <row r="198" spans="1:18" ht="20.100000000000001" customHeight="1">
      <c r="A198" s="25">
        <v>16</v>
      </c>
      <c r="B198" s="9" t="s">
        <v>327</v>
      </c>
      <c r="C198" s="10" t="s">
        <v>328</v>
      </c>
      <c r="D198" s="13" t="s">
        <v>78</v>
      </c>
      <c r="E198" s="186">
        <v>390135.83333333401</v>
      </c>
      <c r="F198" s="13" t="s">
        <v>151</v>
      </c>
      <c r="G198" s="186">
        <v>399131.16666666698</v>
      </c>
      <c r="H198" s="186">
        <f t="shared" si="65"/>
        <v>8995.3333333329592</v>
      </c>
      <c r="I198" s="70">
        <v>31210.866666666701</v>
      </c>
      <c r="J198" s="70">
        <f t="shared" si="63"/>
        <v>31930.493333333401</v>
      </c>
      <c r="K198" s="70">
        <f t="shared" si="64"/>
        <v>719.62666666669998</v>
      </c>
      <c r="L198" s="70">
        <f t="shared" si="44"/>
        <v>383165.92</v>
      </c>
      <c r="M198" s="13" t="s">
        <v>151</v>
      </c>
      <c r="N198" s="853">
        <v>251467.91666666701</v>
      </c>
      <c r="O198" s="853">
        <f>N198*0.025</f>
        <v>6286.6979166666797</v>
      </c>
      <c r="P198" s="70">
        <v>6154.2791666666799</v>
      </c>
      <c r="Q198" s="853">
        <f t="shared" si="45"/>
        <v>132.41874999999499</v>
      </c>
      <c r="R198" s="853">
        <f t="shared" si="46"/>
        <v>75440.375000000102</v>
      </c>
    </row>
    <row r="199" spans="1:18" ht="20.100000000000001" customHeight="1">
      <c r="A199" s="25">
        <v>17</v>
      </c>
      <c r="B199" s="9" t="s">
        <v>329</v>
      </c>
      <c r="C199" s="10" t="s">
        <v>330</v>
      </c>
      <c r="D199" s="8" t="s">
        <v>81</v>
      </c>
      <c r="E199" s="70">
        <v>372145.33333333302</v>
      </c>
      <c r="F199" s="8" t="s">
        <v>81</v>
      </c>
      <c r="G199" s="70">
        <v>372145.33333333302</v>
      </c>
      <c r="H199" s="186">
        <f t="shared" si="65"/>
        <v>0</v>
      </c>
      <c r="I199" s="70">
        <v>29771.6266666667</v>
      </c>
      <c r="J199" s="70">
        <f t="shared" si="63"/>
        <v>29771.626666666602</v>
      </c>
      <c r="K199" s="70">
        <f t="shared" si="64"/>
        <v>-9.8225427791476198E-11</v>
      </c>
      <c r="L199" s="70">
        <f t="shared" si="44"/>
        <v>357259.52000000002</v>
      </c>
      <c r="M199" s="8" t="s">
        <v>81</v>
      </c>
      <c r="N199" s="853">
        <f>'[2] FGN 2024 MGT Monthly'!$H$39</f>
        <v>235577.83333333299</v>
      </c>
      <c r="O199" s="853">
        <f>N199*0.025</f>
        <v>5889.4458333333296</v>
      </c>
      <c r="P199" s="70">
        <v>5566.8645833333203</v>
      </c>
      <c r="Q199" s="853">
        <f t="shared" si="45"/>
        <v>322.58125000001399</v>
      </c>
      <c r="R199" s="853">
        <f t="shared" si="46"/>
        <v>70673.350000000006</v>
      </c>
    </row>
    <row r="200" spans="1:18" ht="20.100000000000001" customHeight="1">
      <c r="A200" s="25">
        <v>18</v>
      </c>
      <c r="B200" s="9" t="s">
        <v>331</v>
      </c>
      <c r="C200" s="2" t="s">
        <v>332</v>
      </c>
      <c r="D200" s="13" t="s">
        <v>179</v>
      </c>
      <c r="E200" s="186">
        <v>441159</v>
      </c>
      <c r="F200" s="13" t="s">
        <v>131</v>
      </c>
      <c r="G200" s="186">
        <v>454993.58333333302</v>
      </c>
      <c r="H200" s="186">
        <f t="shared" si="65"/>
        <v>13834.583333332999</v>
      </c>
      <c r="I200" s="70">
        <v>35292.720000000001</v>
      </c>
      <c r="J200" s="70">
        <f t="shared" si="63"/>
        <v>36399.486666666598</v>
      </c>
      <c r="K200" s="70">
        <f t="shared" si="64"/>
        <v>1106.7666666666</v>
      </c>
      <c r="L200" s="70">
        <f t="shared" ref="L200:L249" si="66">J200*12</f>
        <v>436793.83999999898</v>
      </c>
      <c r="M200" s="13" t="s">
        <v>131</v>
      </c>
      <c r="N200" s="853">
        <v>286447.08333333302</v>
      </c>
      <c r="O200" s="853"/>
      <c r="P200" s="70"/>
      <c r="Q200" s="853">
        <f t="shared" si="45"/>
        <v>0</v>
      </c>
      <c r="R200" s="853">
        <f t="shared" si="46"/>
        <v>0</v>
      </c>
    </row>
    <row r="201" spans="1:18" ht="20.100000000000001" customHeight="1">
      <c r="A201" s="25">
        <v>19</v>
      </c>
      <c r="B201" s="9" t="s">
        <v>333</v>
      </c>
      <c r="C201" s="2" t="s">
        <v>334</v>
      </c>
      <c r="D201" s="13" t="s">
        <v>81</v>
      </c>
      <c r="E201" s="70">
        <v>372145.33333333302</v>
      </c>
      <c r="F201" s="13" t="s">
        <v>75</v>
      </c>
      <c r="G201" s="70">
        <v>381140.66666666599</v>
      </c>
      <c r="H201" s="186">
        <f t="shared" si="65"/>
        <v>8995.3333333329592</v>
      </c>
      <c r="I201" s="70">
        <v>29771.6266666667</v>
      </c>
      <c r="J201" s="70">
        <f t="shared" si="63"/>
        <v>30491.253333333301</v>
      </c>
      <c r="K201" s="70">
        <f t="shared" si="64"/>
        <v>719.62666666660198</v>
      </c>
      <c r="L201" s="70">
        <f t="shared" si="66"/>
        <v>365895.04</v>
      </c>
      <c r="M201" s="13" t="s">
        <v>75</v>
      </c>
      <c r="N201" s="853">
        <v>240874.58333333299</v>
      </c>
      <c r="O201" s="853">
        <f>N201*0.025</f>
        <v>6021.8645833333203</v>
      </c>
      <c r="P201" s="70">
        <v>5690.3937500000002</v>
      </c>
      <c r="Q201" s="853">
        <f t="shared" ref="Q201:Q249" si="67">O201-P201</f>
        <v>331.470833333325</v>
      </c>
      <c r="R201" s="853">
        <f t="shared" ref="R201:R249" si="68">O201*12</f>
        <v>72262.374999999898</v>
      </c>
    </row>
    <row r="202" spans="1:18" ht="20.100000000000001" customHeight="1">
      <c r="A202" s="25">
        <v>20</v>
      </c>
      <c r="B202" s="9" t="s">
        <v>335</v>
      </c>
      <c r="C202" s="2" t="s">
        <v>332</v>
      </c>
      <c r="D202" s="13" t="s">
        <v>179</v>
      </c>
      <c r="E202" s="186">
        <v>441159</v>
      </c>
      <c r="F202" s="13" t="s">
        <v>131</v>
      </c>
      <c r="G202" s="186">
        <v>454993.58333333302</v>
      </c>
      <c r="H202" s="186">
        <f t="shared" si="65"/>
        <v>13834.583333332999</v>
      </c>
      <c r="I202" s="70">
        <v>35292.720000000001</v>
      </c>
      <c r="J202" s="70">
        <f t="shared" si="63"/>
        <v>36399.486666666598</v>
      </c>
      <c r="K202" s="70">
        <f t="shared" si="64"/>
        <v>1106.7666666666</v>
      </c>
      <c r="L202" s="70">
        <f t="shared" si="66"/>
        <v>436793.83999999898</v>
      </c>
      <c r="M202" s="13" t="s">
        <v>131</v>
      </c>
      <c r="N202" s="853">
        <v>286447.08333333302</v>
      </c>
      <c r="O202" s="853">
        <f>N202*0.025</f>
        <v>7161.1770833333303</v>
      </c>
      <c r="P202" s="70">
        <v>7722.5375000000004</v>
      </c>
      <c r="Q202" s="853">
        <f t="shared" si="67"/>
        <v>-561.36041666667495</v>
      </c>
      <c r="R202" s="853">
        <f t="shared" si="68"/>
        <v>85934.124999999898</v>
      </c>
    </row>
    <row r="203" spans="1:18" ht="20.100000000000001" customHeight="1">
      <c r="A203" s="25">
        <v>21</v>
      </c>
      <c r="B203" s="9" t="s">
        <v>336</v>
      </c>
      <c r="C203" s="2" t="s">
        <v>337</v>
      </c>
      <c r="D203" s="13" t="s">
        <v>81</v>
      </c>
      <c r="E203" s="70">
        <v>372145.33333333302</v>
      </c>
      <c r="F203" s="13" t="s">
        <v>81</v>
      </c>
      <c r="G203" s="70">
        <v>372145.33333333302</v>
      </c>
      <c r="H203" s="186">
        <f t="shared" si="65"/>
        <v>0</v>
      </c>
      <c r="I203" s="70">
        <v>29771.6266666667</v>
      </c>
      <c r="J203" s="70">
        <f t="shared" si="63"/>
        <v>29771.626666666602</v>
      </c>
      <c r="K203" s="70">
        <f t="shared" si="64"/>
        <v>-9.8225427791476198E-11</v>
      </c>
      <c r="L203" s="70">
        <f t="shared" si="66"/>
        <v>357259.51999999903</v>
      </c>
      <c r="M203" s="13" t="s">
        <v>81</v>
      </c>
      <c r="N203" s="853">
        <f>'[2] FGN 2024 MGT Monthly'!$H$39</f>
        <v>235577.83333333299</v>
      </c>
      <c r="O203" s="853"/>
      <c r="P203" s="70"/>
      <c r="Q203" s="853">
        <f t="shared" si="67"/>
        <v>0</v>
      </c>
      <c r="R203" s="853">
        <f t="shared" si="68"/>
        <v>0</v>
      </c>
    </row>
    <row r="204" spans="1:18" ht="20.100000000000001" customHeight="1">
      <c r="A204" s="25">
        <v>22</v>
      </c>
      <c r="B204" s="16" t="s">
        <v>338</v>
      </c>
      <c r="C204" s="10" t="s">
        <v>339</v>
      </c>
      <c r="D204" s="13" t="s">
        <v>99</v>
      </c>
      <c r="E204" s="186">
        <v>338711.66666666698</v>
      </c>
      <c r="F204" s="13" t="s">
        <v>86</v>
      </c>
      <c r="G204" s="186">
        <v>338711.66666666698</v>
      </c>
      <c r="H204" s="186">
        <f t="shared" si="65"/>
        <v>0</v>
      </c>
      <c r="I204" s="70">
        <v>27096.9333333334</v>
      </c>
      <c r="J204" s="70">
        <f t="shared" si="63"/>
        <v>27096.9333333334</v>
      </c>
      <c r="K204" s="70">
        <f t="shared" si="64"/>
        <v>0</v>
      </c>
      <c r="L204" s="70">
        <f t="shared" si="66"/>
        <v>325163.200000001</v>
      </c>
      <c r="M204" s="13" t="s">
        <v>86</v>
      </c>
      <c r="N204" s="853">
        <v>222674.58333333299</v>
      </c>
      <c r="O204" s="853">
        <f>N204*0.025</f>
        <v>5566.8645833333203</v>
      </c>
      <c r="P204" s="70">
        <v>5443.3354166666804</v>
      </c>
      <c r="Q204" s="853">
        <f t="shared" si="67"/>
        <v>123.529166666644</v>
      </c>
      <c r="R204" s="853">
        <f t="shared" si="68"/>
        <v>66802.374999999898</v>
      </c>
    </row>
    <row r="205" spans="1:18" ht="20.100000000000001" customHeight="1">
      <c r="A205" s="25">
        <v>23</v>
      </c>
      <c r="B205" s="16" t="s">
        <v>340</v>
      </c>
      <c r="C205" s="10" t="s">
        <v>339</v>
      </c>
      <c r="D205" s="13" t="s">
        <v>99</v>
      </c>
      <c r="E205" s="186">
        <v>338711.66666666698</v>
      </c>
      <c r="F205" s="13" t="s">
        <v>86</v>
      </c>
      <c r="G205" s="70">
        <v>347016.16666666599</v>
      </c>
      <c r="H205" s="186">
        <f t="shared" si="65"/>
        <v>8304.4999999990105</v>
      </c>
      <c r="I205" s="70">
        <v>27096.9333333334</v>
      </c>
      <c r="J205" s="70">
        <f t="shared" si="63"/>
        <v>27761.293333333299</v>
      </c>
      <c r="K205" s="70">
        <f t="shared" si="64"/>
        <v>664.35999999989895</v>
      </c>
      <c r="L205" s="70">
        <f t="shared" si="66"/>
        <v>333135.52</v>
      </c>
      <c r="M205" s="13" t="s">
        <v>86</v>
      </c>
      <c r="N205" s="853">
        <v>222674.58333333299</v>
      </c>
      <c r="O205" s="853"/>
      <c r="P205" s="70"/>
      <c r="Q205" s="853">
        <f t="shared" si="67"/>
        <v>0</v>
      </c>
      <c r="R205" s="853">
        <f t="shared" si="68"/>
        <v>0</v>
      </c>
    </row>
    <row r="206" spans="1:18" ht="18.75" customHeight="1">
      <c r="A206" s="25">
        <v>24</v>
      </c>
      <c r="B206" s="16" t="s">
        <v>341</v>
      </c>
      <c r="C206" s="2" t="s">
        <v>342</v>
      </c>
      <c r="D206" s="8" t="s">
        <v>225</v>
      </c>
      <c r="E206" s="70">
        <v>330407.08333333302</v>
      </c>
      <c r="F206" s="8" t="s">
        <v>99</v>
      </c>
      <c r="G206" s="186">
        <v>338711.66666666698</v>
      </c>
      <c r="H206" s="186">
        <f t="shared" si="65"/>
        <v>8304.5833333339506</v>
      </c>
      <c r="I206" s="70">
        <v>26432.566666666698</v>
      </c>
      <c r="J206" s="70">
        <f t="shared" si="63"/>
        <v>27096.9333333334</v>
      </c>
      <c r="K206" s="70">
        <f t="shared" si="64"/>
        <v>664.36666666670101</v>
      </c>
      <c r="L206" s="70">
        <f t="shared" si="66"/>
        <v>325163.200000001</v>
      </c>
      <c r="M206" s="8" t="s">
        <v>99</v>
      </c>
      <c r="N206" s="853">
        <v>217733.41666666701</v>
      </c>
      <c r="O206" s="853"/>
      <c r="P206" s="70"/>
      <c r="Q206" s="853">
        <f t="shared" si="67"/>
        <v>0</v>
      </c>
      <c r="R206" s="853">
        <f t="shared" si="68"/>
        <v>0</v>
      </c>
    </row>
    <row r="207" spans="1:18" ht="20.100000000000001" customHeight="1">
      <c r="A207" s="25">
        <v>25</v>
      </c>
      <c r="B207" s="16" t="s">
        <v>343</v>
      </c>
      <c r="C207" s="10" t="s">
        <v>344</v>
      </c>
      <c r="D207" s="13" t="s">
        <v>225</v>
      </c>
      <c r="E207" s="70">
        <v>330407.08333333302</v>
      </c>
      <c r="F207" s="13" t="s">
        <v>225</v>
      </c>
      <c r="G207" s="70">
        <v>330407.08333333302</v>
      </c>
      <c r="H207" s="186">
        <f t="shared" si="65"/>
        <v>0</v>
      </c>
      <c r="I207" s="639">
        <v>26432.566666666698</v>
      </c>
      <c r="J207" s="70">
        <f t="shared" si="63"/>
        <v>26432.5666666666</v>
      </c>
      <c r="K207" s="70">
        <f t="shared" si="64"/>
        <v>-9.8225427791476198E-11</v>
      </c>
      <c r="L207" s="70">
        <f t="shared" si="66"/>
        <v>317190.799999999</v>
      </c>
      <c r="M207" s="13" t="s">
        <v>225</v>
      </c>
      <c r="N207" s="70">
        <f>'[2] FGN 2024 MGT Monthly'!$H$38</f>
        <v>212792.16666666701</v>
      </c>
      <c r="O207" s="853"/>
      <c r="P207" s="2"/>
      <c r="Q207" s="853">
        <f t="shared" si="67"/>
        <v>0</v>
      </c>
      <c r="R207" s="853">
        <f t="shared" si="68"/>
        <v>0</v>
      </c>
    </row>
    <row r="208" spans="1:18" ht="20.100000000000001" customHeight="1">
      <c r="A208" s="25">
        <v>26</v>
      </c>
      <c r="B208" s="16" t="s">
        <v>345</v>
      </c>
      <c r="C208" s="10" t="s">
        <v>346</v>
      </c>
      <c r="D208" s="13" t="s">
        <v>108</v>
      </c>
      <c r="E208" s="70">
        <v>301910.75</v>
      </c>
      <c r="F208" s="13" t="s">
        <v>105</v>
      </c>
      <c r="G208" s="70">
        <v>308920.66666666698</v>
      </c>
      <c r="H208" s="186">
        <f t="shared" si="65"/>
        <v>7009.9166666669798</v>
      </c>
      <c r="I208" s="70">
        <v>24152.86</v>
      </c>
      <c r="J208" s="70">
        <f t="shared" si="63"/>
        <v>24713.653333333401</v>
      </c>
      <c r="K208" s="70">
        <f t="shared" si="64"/>
        <v>560.79333333340003</v>
      </c>
      <c r="L208" s="70">
        <f t="shared" si="66"/>
        <v>296563.84000000102</v>
      </c>
      <c r="M208" s="13" t="s">
        <v>105</v>
      </c>
      <c r="N208" s="853">
        <v>200549.41666666701</v>
      </c>
      <c r="O208" s="853">
        <f>N208*0.025</f>
        <v>5013.7354166666801</v>
      </c>
      <c r="P208" s="860">
        <v>4909.1104166666801</v>
      </c>
      <c r="Q208" s="853">
        <f t="shared" si="67"/>
        <v>104.624999999995</v>
      </c>
      <c r="R208" s="853">
        <f t="shared" si="68"/>
        <v>60164.825000000099</v>
      </c>
    </row>
    <row r="209" spans="1:18" ht="20.100000000000001" customHeight="1">
      <c r="A209" s="25">
        <v>27</v>
      </c>
      <c r="B209" s="16" t="s">
        <v>347</v>
      </c>
      <c r="C209" s="10" t="s">
        <v>348</v>
      </c>
      <c r="D209" s="13" t="s">
        <v>108</v>
      </c>
      <c r="E209" s="70">
        <v>301910.75</v>
      </c>
      <c r="F209" s="13" t="s">
        <v>105</v>
      </c>
      <c r="G209" s="70">
        <v>308920.66666666698</v>
      </c>
      <c r="H209" s="186">
        <f t="shared" si="65"/>
        <v>7009.9166666669798</v>
      </c>
      <c r="I209" s="70">
        <v>24152.86</v>
      </c>
      <c r="J209" s="70">
        <f t="shared" si="63"/>
        <v>24713.653333333401</v>
      </c>
      <c r="K209" s="70">
        <f t="shared" si="64"/>
        <v>560.79333333340003</v>
      </c>
      <c r="L209" s="70">
        <f t="shared" si="66"/>
        <v>296563.84000000102</v>
      </c>
      <c r="M209" s="13" t="s">
        <v>105</v>
      </c>
      <c r="N209" s="853">
        <v>200549.41666666701</v>
      </c>
      <c r="O209" s="853">
        <f>N209*0.025</f>
        <v>5013.7354166666801</v>
      </c>
      <c r="P209" s="70">
        <v>4909.1104166666801</v>
      </c>
      <c r="Q209" s="853">
        <f t="shared" si="67"/>
        <v>104.624999999995</v>
      </c>
      <c r="R209" s="853">
        <f t="shared" si="68"/>
        <v>60164.825000000099</v>
      </c>
    </row>
    <row r="210" spans="1:18" ht="20.100000000000001" customHeight="1">
      <c r="A210" s="25">
        <v>28</v>
      </c>
      <c r="B210" s="16" t="s">
        <v>349</v>
      </c>
      <c r="C210" s="10" t="s">
        <v>350</v>
      </c>
      <c r="D210" s="13" t="s">
        <v>108</v>
      </c>
      <c r="E210" s="70">
        <v>301910.75</v>
      </c>
      <c r="F210" s="13" t="s">
        <v>105</v>
      </c>
      <c r="G210" s="70">
        <v>308920.66666666698</v>
      </c>
      <c r="H210" s="186">
        <f t="shared" si="65"/>
        <v>7009.9166666669798</v>
      </c>
      <c r="I210" s="70">
        <v>24152.86</v>
      </c>
      <c r="J210" s="70">
        <f t="shared" si="63"/>
        <v>24713.653333333401</v>
      </c>
      <c r="K210" s="70">
        <f t="shared" si="64"/>
        <v>560.79333333340003</v>
      </c>
      <c r="L210" s="70">
        <f t="shared" si="66"/>
        <v>296563.84000000102</v>
      </c>
      <c r="M210" s="13" t="s">
        <v>105</v>
      </c>
      <c r="N210" s="853">
        <v>200549.41666666701</v>
      </c>
      <c r="O210" s="853">
        <f>N210*0.025</f>
        <v>5013.7354166666801</v>
      </c>
      <c r="P210" s="70">
        <v>4909.1104166666801</v>
      </c>
      <c r="Q210" s="853">
        <f t="shared" si="67"/>
        <v>104.624999999995</v>
      </c>
      <c r="R210" s="853">
        <f t="shared" si="68"/>
        <v>60164.825000000099</v>
      </c>
    </row>
    <row r="211" spans="1:18" ht="20.100000000000001" customHeight="1">
      <c r="A211" s="25">
        <v>29</v>
      </c>
      <c r="B211" s="16" t="s">
        <v>351</v>
      </c>
      <c r="C211" s="2" t="s">
        <v>88</v>
      </c>
      <c r="D211" s="8" t="s">
        <v>225</v>
      </c>
      <c r="E211" s="70">
        <v>330408.08333333302</v>
      </c>
      <c r="F211" s="8" t="s">
        <v>225</v>
      </c>
      <c r="G211" s="70">
        <v>330408.08333333302</v>
      </c>
      <c r="H211" s="186">
        <f t="shared" si="65"/>
        <v>0</v>
      </c>
      <c r="I211" s="70">
        <v>24713.653333333401</v>
      </c>
      <c r="J211" s="70">
        <f t="shared" si="63"/>
        <v>26432.646666666598</v>
      </c>
      <c r="K211" s="70">
        <f t="shared" si="64"/>
        <v>1718.9933333332001</v>
      </c>
      <c r="L211" s="70">
        <f t="shared" si="66"/>
        <v>317191.75999999902</v>
      </c>
      <c r="M211" s="8" t="s">
        <v>225</v>
      </c>
      <c r="N211" s="70">
        <f>'[2] FGN 2024 MGT Monthly'!$H$38</f>
        <v>212792.16666666701</v>
      </c>
      <c r="O211" s="853">
        <f>N211*0.025</f>
        <v>5319.8041666666704</v>
      </c>
      <c r="P211" s="70">
        <v>5013.7354166666801</v>
      </c>
      <c r="Q211" s="853">
        <f t="shared" si="67"/>
        <v>306.06874999998701</v>
      </c>
      <c r="R211" s="853">
        <f t="shared" si="68"/>
        <v>63837.65</v>
      </c>
    </row>
    <row r="212" spans="1:18" ht="20.100000000000001" customHeight="1">
      <c r="A212" s="25">
        <v>30</v>
      </c>
      <c r="B212" s="16" t="s">
        <v>352</v>
      </c>
      <c r="C212" s="10" t="s">
        <v>348</v>
      </c>
      <c r="D212" s="13" t="s">
        <v>108</v>
      </c>
      <c r="E212" s="70">
        <v>301910.75</v>
      </c>
      <c r="F212" s="13" t="s">
        <v>105</v>
      </c>
      <c r="G212" s="70">
        <v>308920.66666666698</v>
      </c>
      <c r="H212" s="186">
        <f t="shared" si="65"/>
        <v>7009.9166666669798</v>
      </c>
      <c r="I212" s="70">
        <v>24152.86</v>
      </c>
      <c r="J212" s="70">
        <f t="shared" si="63"/>
        <v>24713.653333333401</v>
      </c>
      <c r="K212" s="70">
        <f t="shared" si="64"/>
        <v>560.79333333340003</v>
      </c>
      <c r="L212" s="70">
        <f t="shared" si="66"/>
        <v>296563.84000000102</v>
      </c>
      <c r="M212" s="13" t="s">
        <v>105</v>
      </c>
      <c r="N212" s="853">
        <v>200549.41666666701</v>
      </c>
      <c r="O212" s="853">
        <f>N212*0.025</f>
        <v>5013.7354166666801</v>
      </c>
      <c r="P212" s="70">
        <v>4909.1104166666801</v>
      </c>
      <c r="Q212" s="853">
        <f t="shared" si="67"/>
        <v>104.624999999995</v>
      </c>
      <c r="R212" s="853">
        <f t="shared" si="68"/>
        <v>60164.825000000099</v>
      </c>
    </row>
    <row r="213" spans="1:18" ht="20.100000000000001" customHeight="1">
      <c r="A213" s="25">
        <v>31</v>
      </c>
      <c r="B213" s="16" t="s">
        <v>353</v>
      </c>
      <c r="C213" s="10" t="s">
        <v>354</v>
      </c>
      <c r="D213" s="13" t="s">
        <v>111</v>
      </c>
      <c r="E213" s="630">
        <v>294900.83333333401</v>
      </c>
      <c r="F213" s="13" t="s">
        <v>108</v>
      </c>
      <c r="G213" s="70">
        <v>301910.75</v>
      </c>
      <c r="H213" s="186">
        <f t="shared" si="65"/>
        <v>7009.9166666659903</v>
      </c>
      <c r="I213" s="639">
        <v>23592.066666666698</v>
      </c>
      <c r="J213" s="70">
        <f t="shared" si="63"/>
        <v>24152.86</v>
      </c>
      <c r="K213" s="70">
        <f t="shared" si="64"/>
        <v>560.79333333330203</v>
      </c>
      <c r="L213" s="70">
        <f t="shared" si="66"/>
        <v>289834.32</v>
      </c>
      <c r="M213" s="13" t="s">
        <v>108</v>
      </c>
      <c r="N213" s="853">
        <v>196364.41666666701</v>
      </c>
      <c r="O213" s="853"/>
      <c r="P213" s="70"/>
      <c r="Q213" s="853">
        <f t="shared" si="67"/>
        <v>0</v>
      </c>
      <c r="R213" s="853">
        <f t="shared" si="68"/>
        <v>0</v>
      </c>
    </row>
    <row r="214" spans="1:18" ht="20.100000000000001" customHeight="1">
      <c r="A214" s="25">
        <v>32</v>
      </c>
      <c r="B214" s="16" t="s">
        <v>355</v>
      </c>
      <c r="C214" s="10" t="s">
        <v>354</v>
      </c>
      <c r="D214" s="13" t="s">
        <v>111</v>
      </c>
      <c r="E214" s="630">
        <v>294900.83333333401</v>
      </c>
      <c r="F214" s="13" t="s">
        <v>108</v>
      </c>
      <c r="G214" s="70">
        <v>301910.75</v>
      </c>
      <c r="H214" s="186">
        <f t="shared" si="65"/>
        <v>7009.9166666659903</v>
      </c>
      <c r="I214" s="639">
        <v>23592.066666666698</v>
      </c>
      <c r="J214" s="70">
        <f t="shared" si="63"/>
        <v>24152.86</v>
      </c>
      <c r="K214" s="70">
        <f t="shared" si="64"/>
        <v>560.79333333330203</v>
      </c>
      <c r="L214" s="70">
        <f t="shared" si="66"/>
        <v>289834.32</v>
      </c>
      <c r="M214" s="13" t="s">
        <v>108</v>
      </c>
      <c r="N214" s="853">
        <v>196364.41666666701</v>
      </c>
      <c r="O214" s="853"/>
      <c r="P214" s="70"/>
      <c r="Q214" s="853">
        <f t="shared" si="67"/>
        <v>0</v>
      </c>
      <c r="R214" s="853">
        <f t="shared" si="68"/>
        <v>0</v>
      </c>
    </row>
    <row r="215" spans="1:18" ht="20.100000000000001" customHeight="1">
      <c r="A215" s="25">
        <v>33</v>
      </c>
      <c r="B215" s="16" t="s">
        <v>485</v>
      </c>
      <c r="C215" s="10" t="s">
        <v>581</v>
      </c>
      <c r="D215" s="13" t="s">
        <v>277</v>
      </c>
      <c r="E215" s="70">
        <v>287890.91666666698</v>
      </c>
      <c r="F215" s="13" t="s">
        <v>277</v>
      </c>
      <c r="G215" s="630">
        <v>294900.83333333401</v>
      </c>
      <c r="H215" s="186"/>
      <c r="I215" s="639"/>
      <c r="J215" s="70"/>
      <c r="K215" s="962"/>
      <c r="L215" s="962"/>
      <c r="M215" s="963"/>
      <c r="N215" s="630"/>
      <c r="O215" s="853"/>
      <c r="P215" s="2"/>
      <c r="Q215" s="853">
        <f t="shared" si="67"/>
        <v>0</v>
      </c>
      <c r="R215" s="853">
        <f t="shared" si="68"/>
        <v>0</v>
      </c>
    </row>
    <row r="216" spans="1:18" ht="20.100000000000001" customHeight="1">
      <c r="A216" s="25">
        <v>34</v>
      </c>
      <c r="B216" s="16" t="s">
        <v>356</v>
      </c>
      <c r="C216" s="10" t="s">
        <v>344</v>
      </c>
      <c r="D216" s="13" t="s">
        <v>277</v>
      </c>
      <c r="E216" s="70">
        <v>287890.91666666698</v>
      </c>
      <c r="F216" s="13" t="s">
        <v>111</v>
      </c>
      <c r="G216" s="630">
        <v>294900.83333333401</v>
      </c>
      <c r="H216" s="186">
        <f t="shared" ref="H216:H249" si="69">G216-E216</f>
        <v>7009.9166666670399</v>
      </c>
      <c r="I216" s="639">
        <v>23031.273333333302</v>
      </c>
      <c r="J216" s="70">
        <f t="shared" si="63"/>
        <v>23592.066666666698</v>
      </c>
      <c r="K216" s="70">
        <f t="shared" si="64"/>
        <v>560.79333333339696</v>
      </c>
      <c r="L216" s="70">
        <f t="shared" si="66"/>
        <v>283104.8</v>
      </c>
      <c r="M216" s="13" t="s">
        <v>111</v>
      </c>
      <c r="N216" s="853">
        <v>192179.41666666701</v>
      </c>
      <c r="O216" s="853"/>
      <c r="P216" s="2"/>
      <c r="Q216" s="853">
        <f t="shared" si="67"/>
        <v>0</v>
      </c>
      <c r="R216" s="853">
        <f t="shared" si="68"/>
        <v>0</v>
      </c>
    </row>
    <row r="217" spans="1:18" ht="20.100000000000001" customHeight="1">
      <c r="A217" s="25">
        <v>35</v>
      </c>
      <c r="B217" s="16" t="s">
        <v>357</v>
      </c>
      <c r="C217" s="10" t="s">
        <v>344</v>
      </c>
      <c r="D217" s="13" t="s">
        <v>277</v>
      </c>
      <c r="E217" s="70">
        <v>287890.91666666698</v>
      </c>
      <c r="F217" s="13" t="s">
        <v>111</v>
      </c>
      <c r="G217" s="630">
        <v>294900.83333333401</v>
      </c>
      <c r="H217" s="186">
        <f t="shared" si="69"/>
        <v>7009.9166666670399</v>
      </c>
      <c r="I217" s="639">
        <v>23031.273333333302</v>
      </c>
      <c r="J217" s="70">
        <f t="shared" si="63"/>
        <v>23592.066666666698</v>
      </c>
      <c r="K217" s="70">
        <f t="shared" si="64"/>
        <v>560.79333333339696</v>
      </c>
      <c r="L217" s="70">
        <f t="shared" si="66"/>
        <v>283104.8</v>
      </c>
      <c r="M217" s="13" t="s">
        <v>111</v>
      </c>
      <c r="N217" s="853">
        <v>192179.41666666701</v>
      </c>
      <c r="O217" s="853"/>
      <c r="P217" s="2"/>
      <c r="Q217" s="853">
        <f t="shared" si="67"/>
        <v>0</v>
      </c>
      <c r="R217" s="853">
        <f t="shared" si="68"/>
        <v>0</v>
      </c>
    </row>
    <row r="218" spans="1:18" ht="20.100000000000001" customHeight="1">
      <c r="A218" s="25">
        <v>36</v>
      </c>
      <c r="B218" s="16" t="s">
        <v>358</v>
      </c>
      <c r="C218" s="10" t="s">
        <v>344</v>
      </c>
      <c r="D218" s="13" t="s">
        <v>277</v>
      </c>
      <c r="E218" s="70">
        <v>287890.91666666698</v>
      </c>
      <c r="F218" s="13" t="s">
        <v>111</v>
      </c>
      <c r="G218" s="630">
        <v>294900.83333333401</v>
      </c>
      <c r="H218" s="186">
        <f t="shared" si="69"/>
        <v>7009.9166666670399</v>
      </c>
      <c r="I218" s="639">
        <v>23031.273333333302</v>
      </c>
      <c r="J218" s="70">
        <f t="shared" si="63"/>
        <v>23592.066666666698</v>
      </c>
      <c r="K218" s="70">
        <f t="shared" si="64"/>
        <v>560.79333333339696</v>
      </c>
      <c r="L218" s="70">
        <f t="shared" si="66"/>
        <v>283104.8</v>
      </c>
      <c r="M218" s="13" t="s">
        <v>111</v>
      </c>
      <c r="N218" s="853">
        <v>192179.41666666701</v>
      </c>
      <c r="O218" s="853"/>
      <c r="P218" s="2"/>
      <c r="Q218" s="853">
        <f t="shared" si="67"/>
        <v>0</v>
      </c>
      <c r="R218" s="853">
        <f t="shared" si="68"/>
        <v>0</v>
      </c>
    </row>
    <row r="219" spans="1:18" ht="20.100000000000001" customHeight="1">
      <c r="A219" s="25">
        <v>37</v>
      </c>
      <c r="B219" s="16" t="s">
        <v>359</v>
      </c>
      <c r="C219" s="10" t="s">
        <v>344</v>
      </c>
      <c r="D219" s="13" t="s">
        <v>277</v>
      </c>
      <c r="E219" s="70">
        <v>287890.91666666698</v>
      </c>
      <c r="F219" s="13" t="s">
        <v>277</v>
      </c>
      <c r="G219" s="70">
        <v>287890.91666666698</v>
      </c>
      <c r="H219" s="186">
        <f t="shared" si="69"/>
        <v>0</v>
      </c>
      <c r="I219" s="639">
        <v>23031.273333333302</v>
      </c>
      <c r="J219" s="70">
        <f t="shared" si="63"/>
        <v>23031.2733333334</v>
      </c>
      <c r="K219" s="70">
        <f t="shared" si="64"/>
        <v>9.8225427791476198E-11</v>
      </c>
      <c r="L219" s="70">
        <f t="shared" si="66"/>
        <v>276375.28000000102</v>
      </c>
      <c r="M219" s="13" t="s">
        <v>277</v>
      </c>
      <c r="N219" s="853">
        <v>187994.41666666701</v>
      </c>
      <c r="O219" s="853"/>
      <c r="P219" s="2"/>
      <c r="Q219" s="853">
        <f t="shared" si="67"/>
        <v>0</v>
      </c>
      <c r="R219" s="853">
        <f t="shared" si="68"/>
        <v>0</v>
      </c>
    </row>
    <row r="220" spans="1:18" ht="20.100000000000001" customHeight="1">
      <c r="A220" s="25">
        <v>38</v>
      </c>
      <c r="B220" s="16" t="s">
        <v>360</v>
      </c>
      <c r="C220" s="10" t="s">
        <v>344</v>
      </c>
      <c r="D220" s="13" t="s">
        <v>277</v>
      </c>
      <c r="E220" s="70">
        <v>287890.91666666698</v>
      </c>
      <c r="F220" s="13" t="s">
        <v>277</v>
      </c>
      <c r="G220" s="70">
        <v>287890.91666666698</v>
      </c>
      <c r="H220" s="186">
        <f t="shared" si="69"/>
        <v>0</v>
      </c>
      <c r="I220" s="639">
        <v>23031.273333333302</v>
      </c>
      <c r="J220" s="70">
        <f t="shared" si="63"/>
        <v>23031.2733333334</v>
      </c>
      <c r="K220" s="70">
        <f t="shared" si="64"/>
        <v>9.8225427791476198E-11</v>
      </c>
      <c r="L220" s="70">
        <f t="shared" si="66"/>
        <v>276375.28000000102</v>
      </c>
      <c r="M220" s="13" t="s">
        <v>277</v>
      </c>
      <c r="N220" s="853">
        <v>187994.41666666701</v>
      </c>
      <c r="O220" s="853"/>
      <c r="P220" s="2"/>
      <c r="Q220" s="853">
        <f t="shared" si="67"/>
        <v>0</v>
      </c>
      <c r="R220" s="853">
        <f t="shared" si="68"/>
        <v>0</v>
      </c>
    </row>
    <row r="221" spans="1:18" ht="20.100000000000001" customHeight="1">
      <c r="A221" s="25">
        <v>39</v>
      </c>
      <c r="B221" s="9" t="s">
        <v>361</v>
      </c>
      <c r="C221" s="10" t="s">
        <v>556</v>
      </c>
      <c r="D221" s="13" t="s">
        <v>374</v>
      </c>
      <c r="E221" s="192">
        <v>237717.16666666599</v>
      </c>
      <c r="F221" s="13" t="s">
        <v>363</v>
      </c>
      <c r="G221" s="192">
        <v>255667.08333333299</v>
      </c>
      <c r="H221" s="186">
        <f t="shared" si="69"/>
        <v>17949.916666667301</v>
      </c>
      <c r="I221" s="70">
        <v>19017.3733333333</v>
      </c>
      <c r="J221" s="70">
        <f t="shared" si="63"/>
        <v>20453.366666666599</v>
      </c>
      <c r="K221" s="70">
        <f t="shared" si="64"/>
        <v>1435.9933333332999</v>
      </c>
      <c r="L221" s="70">
        <f t="shared" si="66"/>
        <v>245440.399999999</v>
      </c>
      <c r="M221" s="13" t="s">
        <v>363</v>
      </c>
      <c r="N221" s="192">
        <f>'[2] FGN 2024 MGT Monthly'!$K$36</f>
        <v>170118.25</v>
      </c>
      <c r="O221" s="853">
        <f>N221*0.025</f>
        <v>4252.9562500000002</v>
      </c>
      <c r="P221" s="70">
        <v>3982.2145833333302</v>
      </c>
      <c r="Q221" s="853">
        <f t="shared" si="67"/>
        <v>270.74166666667003</v>
      </c>
      <c r="R221" s="853">
        <f t="shared" si="68"/>
        <v>51035.474999999999</v>
      </c>
    </row>
    <row r="222" spans="1:18" ht="20.100000000000001" customHeight="1">
      <c r="A222" s="25">
        <v>40</v>
      </c>
      <c r="B222" s="9" t="s">
        <v>364</v>
      </c>
      <c r="C222" s="10" t="s">
        <v>556</v>
      </c>
      <c r="D222" s="13" t="s">
        <v>374</v>
      </c>
      <c r="E222" s="192">
        <v>237717.16666666599</v>
      </c>
      <c r="F222" s="13" t="s">
        <v>363</v>
      </c>
      <c r="G222" s="192">
        <v>255667.08333333299</v>
      </c>
      <c r="H222" s="186">
        <f t="shared" si="69"/>
        <v>17949.916666667301</v>
      </c>
      <c r="I222" s="70">
        <v>19017.3733333333</v>
      </c>
      <c r="J222" s="70">
        <f t="shared" si="63"/>
        <v>20453.366666666599</v>
      </c>
      <c r="K222" s="70">
        <f t="shared" si="64"/>
        <v>1435.9933333332999</v>
      </c>
      <c r="L222" s="70">
        <f t="shared" si="66"/>
        <v>245440.399999999</v>
      </c>
      <c r="M222" s="13" t="s">
        <v>363</v>
      </c>
      <c r="N222" s="192">
        <v>170118.25</v>
      </c>
      <c r="O222" s="853"/>
      <c r="P222" s="70"/>
      <c r="Q222" s="853">
        <f t="shared" si="67"/>
        <v>0</v>
      </c>
      <c r="R222" s="853">
        <f t="shared" si="68"/>
        <v>0</v>
      </c>
    </row>
    <row r="223" spans="1:18" ht="20.100000000000001" customHeight="1">
      <c r="A223" s="25">
        <v>41</v>
      </c>
      <c r="B223" s="9" t="s">
        <v>365</v>
      </c>
      <c r="C223" s="10" t="s">
        <v>556</v>
      </c>
      <c r="D223" s="13" t="s">
        <v>374</v>
      </c>
      <c r="E223" s="192">
        <v>237717.16666666599</v>
      </c>
      <c r="F223" s="13" t="s">
        <v>363</v>
      </c>
      <c r="G223" s="192">
        <v>255667.08333333299</v>
      </c>
      <c r="H223" s="186">
        <f t="shared" si="69"/>
        <v>17949.916666667301</v>
      </c>
      <c r="I223" s="70">
        <v>19017.3733333333</v>
      </c>
      <c r="J223" s="70">
        <f t="shared" si="63"/>
        <v>20453.366666666599</v>
      </c>
      <c r="K223" s="70">
        <f t="shared" si="64"/>
        <v>1435.9933333332999</v>
      </c>
      <c r="L223" s="70">
        <f t="shared" si="66"/>
        <v>245440.399999999</v>
      </c>
      <c r="M223" s="13" t="s">
        <v>363</v>
      </c>
      <c r="N223" s="192">
        <v>170118.25</v>
      </c>
      <c r="O223" s="853">
        <f>N223*0.025</f>
        <v>4252.9562500000002</v>
      </c>
      <c r="P223" s="70">
        <v>3982.2145833333302</v>
      </c>
      <c r="Q223" s="853">
        <f t="shared" si="67"/>
        <v>270.74166666667003</v>
      </c>
      <c r="R223" s="853">
        <f t="shared" si="68"/>
        <v>51035.474999999999</v>
      </c>
    </row>
    <row r="224" spans="1:18" ht="20.100000000000001" customHeight="1">
      <c r="A224" s="25">
        <v>42</v>
      </c>
      <c r="B224" s="9" t="s">
        <v>366</v>
      </c>
      <c r="C224" s="10" t="s">
        <v>556</v>
      </c>
      <c r="D224" s="13" t="s">
        <v>374</v>
      </c>
      <c r="E224" s="192">
        <v>237717.16666666599</v>
      </c>
      <c r="F224" s="13" t="s">
        <v>363</v>
      </c>
      <c r="G224" s="192">
        <v>255667.08333333299</v>
      </c>
      <c r="H224" s="186">
        <f t="shared" si="69"/>
        <v>17949.916666667301</v>
      </c>
      <c r="I224" s="70">
        <v>19017.3733333333</v>
      </c>
      <c r="J224" s="70">
        <f t="shared" si="63"/>
        <v>20453.366666666599</v>
      </c>
      <c r="K224" s="70">
        <f t="shared" si="64"/>
        <v>1435.9933333332999</v>
      </c>
      <c r="L224" s="70">
        <f t="shared" si="66"/>
        <v>245440.399999999</v>
      </c>
      <c r="M224" s="13" t="s">
        <v>363</v>
      </c>
      <c r="N224" s="192">
        <v>170118.25</v>
      </c>
      <c r="O224" s="853"/>
      <c r="P224" s="70"/>
      <c r="Q224" s="853">
        <f t="shared" si="67"/>
        <v>0</v>
      </c>
      <c r="R224" s="853">
        <f t="shared" si="68"/>
        <v>0</v>
      </c>
    </row>
    <row r="225" spans="1:18" ht="20.100000000000001" customHeight="1">
      <c r="A225" s="25">
        <v>43</v>
      </c>
      <c r="B225" s="9" t="s">
        <v>367</v>
      </c>
      <c r="C225" s="10" t="s">
        <v>556</v>
      </c>
      <c r="D225" s="13" t="s">
        <v>386</v>
      </c>
      <c r="E225" s="192">
        <v>231733.83333333401</v>
      </c>
      <c r="F225" s="13" t="s">
        <v>368</v>
      </c>
      <c r="G225" s="192">
        <v>249683.75</v>
      </c>
      <c r="H225" s="186">
        <f t="shared" si="69"/>
        <v>17949.916666665998</v>
      </c>
      <c r="I225" s="70">
        <v>18538.706666666701</v>
      </c>
      <c r="J225" s="70">
        <f t="shared" si="63"/>
        <v>19974.7</v>
      </c>
      <c r="K225" s="70">
        <f t="shared" si="64"/>
        <v>1435.9933333332999</v>
      </c>
      <c r="L225" s="70">
        <f t="shared" si="66"/>
        <v>239696.4</v>
      </c>
      <c r="M225" s="13" t="s">
        <v>368</v>
      </c>
      <c r="N225" s="192">
        <f>'[2] FGN 2024 MGT Monthly'!$J$36</f>
        <v>166508.33333333299</v>
      </c>
      <c r="O225" s="853"/>
      <c r="P225" s="70"/>
      <c r="Q225" s="853">
        <f t="shared" si="67"/>
        <v>0</v>
      </c>
      <c r="R225" s="853">
        <f t="shared" si="68"/>
        <v>0</v>
      </c>
    </row>
    <row r="226" spans="1:18" ht="20.100000000000001" customHeight="1">
      <c r="A226" s="25">
        <v>44</v>
      </c>
      <c r="B226" s="9" t="s">
        <v>369</v>
      </c>
      <c r="C226" s="10" t="s">
        <v>556</v>
      </c>
      <c r="D226" s="13" t="s">
        <v>386</v>
      </c>
      <c r="E226" s="192">
        <v>231733.83333333401</v>
      </c>
      <c r="F226" s="13" t="s">
        <v>368</v>
      </c>
      <c r="G226" s="192">
        <v>249683.75</v>
      </c>
      <c r="H226" s="186">
        <f t="shared" si="69"/>
        <v>17949.916666665998</v>
      </c>
      <c r="I226" s="70">
        <v>18538.706666666701</v>
      </c>
      <c r="J226" s="70">
        <f t="shared" si="63"/>
        <v>19974.7</v>
      </c>
      <c r="K226" s="70">
        <f t="shared" si="64"/>
        <v>1435.9933333332999</v>
      </c>
      <c r="L226" s="70">
        <f t="shared" si="66"/>
        <v>239696.4</v>
      </c>
      <c r="M226" s="13" t="s">
        <v>368</v>
      </c>
      <c r="N226" s="192">
        <f>'[2] FGN 2024 MGT Monthly'!$J$36</f>
        <v>166508.33333333299</v>
      </c>
      <c r="O226" s="853"/>
      <c r="P226" s="70"/>
      <c r="Q226" s="853">
        <f t="shared" si="67"/>
        <v>0</v>
      </c>
      <c r="R226" s="853">
        <f t="shared" si="68"/>
        <v>0</v>
      </c>
    </row>
    <row r="227" spans="1:18" ht="20.100000000000001" customHeight="1">
      <c r="A227" s="25">
        <v>45</v>
      </c>
      <c r="B227" s="12" t="s">
        <v>370</v>
      </c>
      <c r="C227" s="10" t="s">
        <v>556</v>
      </c>
      <c r="D227" s="13" t="s">
        <v>386</v>
      </c>
      <c r="E227" s="192">
        <v>231733.83333333401</v>
      </c>
      <c r="F227" s="13" t="s">
        <v>368</v>
      </c>
      <c r="G227" s="192">
        <v>249683.75</v>
      </c>
      <c r="H227" s="186">
        <f t="shared" si="69"/>
        <v>17949.916666665998</v>
      </c>
      <c r="I227" s="70">
        <v>18538.706666666701</v>
      </c>
      <c r="J227" s="70">
        <f t="shared" si="63"/>
        <v>19974.7</v>
      </c>
      <c r="K227" s="70">
        <f t="shared" si="64"/>
        <v>1435.9933333332999</v>
      </c>
      <c r="L227" s="70">
        <f t="shared" si="66"/>
        <v>239696.4</v>
      </c>
      <c r="M227" s="13" t="s">
        <v>368</v>
      </c>
      <c r="N227" s="192">
        <f>'[2] FGN 2024 MGT Monthly'!$J$36</f>
        <v>166508.33333333299</v>
      </c>
      <c r="O227" s="853"/>
      <c r="P227" s="70"/>
      <c r="Q227" s="853">
        <f t="shared" si="67"/>
        <v>0</v>
      </c>
      <c r="R227" s="853">
        <f t="shared" si="68"/>
        <v>0</v>
      </c>
    </row>
    <row r="228" spans="1:18" ht="20.100000000000001" customHeight="1">
      <c r="A228" s="25">
        <v>46</v>
      </c>
      <c r="B228" s="9" t="s">
        <v>371</v>
      </c>
      <c r="C228" s="10" t="s">
        <v>556</v>
      </c>
      <c r="D228" s="13" t="s">
        <v>386</v>
      </c>
      <c r="E228" s="192">
        <v>231733.83333333401</v>
      </c>
      <c r="F228" s="13" t="s">
        <v>368</v>
      </c>
      <c r="G228" s="192">
        <v>249683.75</v>
      </c>
      <c r="H228" s="186">
        <f t="shared" si="69"/>
        <v>17949.916666665998</v>
      </c>
      <c r="I228" s="70">
        <v>18538.706666666701</v>
      </c>
      <c r="J228" s="70">
        <f t="shared" si="63"/>
        <v>19974.7</v>
      </c>
      <c r="K228" s="70">
        <f t="shared" si="64"/>
        <v>1435.9933333332999</v>
      </c>
      <c r="L228" s="70">
        <f t="shared" si="66"/>
        <v>239696.4</v>
      </c>
      <c r="M228" s="13" t="s">
        <v>368</v>
      </c>
      <c r="N228" s="192">
        <f>'[2] FGN 2024 MGT Monthly'!$J$36</f>
        <v>166508.33333333299</v>
      </c>
      <c r="O228" s="853"/>
      <c r="P228" s="70"/>
      <c r="Q228" s="853">
        <f t="shared" si="67"/>
        <v>0</v>
      </c>
      <c r="R228" s="853">
        <f t="shared" si="68"/>
        <v>0</v>
      </c>
    </row>
    <row r="229" spans="1:18" ht="20.100000000000001" customHeight="1">
      <c r="A229" s="25">
        <v>47</v>
      </c>
      <c r="B229" s="16" t="s">
        <v>372</v>
      </c>
      <c r="C229" s="10" t="s">
        <v>556</v>
      </c>
      <c r="D229" s="13" t="s">
        <v>386</v>
      </c>
      <c r="E229" s="192">
        <v>231733.83333333401</v>
      </c>
      <c r="F229" s="13" t="s">
        <v>368</v>
      </c>
      <c r="G229" s="192">
        <v>249683.75</v>
      </c>
      <c r="H229" s="186">
        <f t="shared" si="69"/>
        <v>17949.916666665998</v>
      </c>
      <c r="I229" s="70">
        <v>18538.706666666701</v>
      </c>
      <c r="J229" s="70">
        <f t="shared" si="63"/>
        <v>19974.7</v>
      </c>
      <c r="K229" s="70">
        <f t="shared" si="64"/>
        <v>1435.9933333332999</v>
      </c>
      <c r="L229" s="70">
        <f t="shared" si="66"/>
        <v>239696.4</v>
      </c>
      <c r="M229" s="13" t="s">
        <v>368</v>
      </c>
      <c r="N229" s="192">
        <f>'[2] FGN 2024 MGT Monthly'!$J$36</f>
        <v>166508.33333333299</v>
      </c>
      <c r="O229" s="853"/>
      <c r="P229" s="70"/>
      <c r="Q229" s="853">
        <f t="shared" si="67"/>
        <v>0</v>
      </c>
      <c r="R229" s="853">
        <f t="shared" si="68"/>
        <v>0</v>
      </c>
    </row>
    <row r="230" spans="1:18" ht="20.100000000000001" customHeight="1">
      <c r="A230" s="25">
        <v>48</v>
      </c>
      <c r="B230" s="9" t="s">
        <v>373</v>
      </c>
      <c r="C230" s="10" t="s">
        <v>362</v>
      </c>
      <c r="D230" s="13" t="s">
        <v>582</v>
      </c>
      <c r="E230" s="70">
        <v>219767.33333333299</v>
      </c>
      <c r="F230" s="13" t="s">
        <v>374</v>
      </c>
      <c r="G230" s="70">
        <v>237717.16666666701</v>
      </c>
      <c r="H230" s="186">
        <f t="shared" si="69"/>
        <v>17949.8333333337</v>
      </c>
      <c r="I230" s="70">
        <v>17581.3866666666</v>
      </c>
      <c r="J230" s="70">
        <f t="shared" si="63"/>
        <v>19017.373333333398</v>
      </c>
      <c r="K230" s="70">
        <f t="shared" si="64"/>
        <v>1435.9866666667999</v>
      </c>
      <c r="L230" s="70">
        <f t="shared" si="66"/>
        <v>228208.480000001</v>
      </c>
      <c r="M230" s="13" t="s">
        <v>374</v>
      </c>
      <c r="N230" s="865">
        <v>159288.58333333299</v>
      </c>
      <c r="O230" s="853"/>
      <c r="P230" s="70"/>
      <c r="Q230" s="853">
        <f t="shared" si="67"/>
        <v>0</v>
      </c>
      <c r="R230" s="853">
        <f t="shared" si="68"/>
        <v>0</v>
      </c>
    </row>
    <row r="231" spans="1:18" ht="20.100000000000001" customHeight="1">
      <c r="A231" s="25">
        <v>49</v>
      </c>
      <c r="B231" s="9" t="s">
        <v>375</v>
      </c>
      <c r="C231" s="10" t="s">
        <v>362</v>
      </c>
      <c r="D231" s="13" t="s">
        <v>582</v>
      </c>
      <c r="E231" s="70">
        <v>219767.33333333299</v>
      </c>
      <c r="F231" s="13" t="s">
        <v>374</v>
      </c>
      <c r="G231" s="70">
        <v>237717.16666666701</v>
      </c>
      <c r="H231" s="186">
        <f t="shared" si="69"/>
        <v>17949.8333333337</v>
      </c>
      <c r="I231" s="70">
        <v>17581.3866666666</v>
      </c>
      <c r="J231" s="70">
        <f t="shared" si="63"/>
        <v>19017.373333333398</v>
      </c>
      <c r="K231" s="70">
        <f t="shared" si="64"/>
        <v>1435.9866666667999</v>
      </c>
      <c r="L231" s="70">
        <f t="shared" si="66"/>
        <v>228208.480000001</v>
      </c>
      <c r="M231" s="13" t="s">
        <v>374</v>
      </c>
      <c r="N231" s="865">
        <v>159288.58333333299</v>
      </c>
      <c r="O231" s="853"/>
      <c r="P231" s="70"/>
      <c r="Q231" s="853">
        <f t="shared" si="67"/>
        <v>0</v>
      </c>
      <c r="R231" s="853">
        <f t="shared" si="68"/>
        <v>0</v>
      </c>
    </row>
    <row r="232" spans="1:18" ht="20.100000000000001" customHeight="1">
      <c r="A232" s="25">
        <v>50</v>
      </c>
      <c r="B232" s="16" t="s">
        <v>376</v>
      </c>
      <c r="C232" s="10" t="s">
        <v>362</v>
      </c>
      <c r="D232" s="13" t="s">
        <v>379</v>
      </c>
      <c r="E232" s="70">
        <v>225750.58333333299</v>
      </c>
      <c r="F232" s="13" t="s">
        <v>377</v>
      </c>
      <c r="G232" s="70">
        <f>'[2]Peculiar Allowance'!$I$36+'[2] FGN 2024 MGT Monthly'!$I$36</f>
        <v>243700.41666666701</v>
      </c>
      <c r="H232" s="186">
        <f t="shared" si="69"/>
        <v>17949.8333333337</v>
      </c>
      <c r="I232" s="70">
        <v>18060.0466666666</v>
      </c>
      <c r="J232" s="70">
        <f t="shared" si="63"/>
        <v>19496.0333333333</v>
      </c>
      <c r="K232" s="70">
        <f t="shared" si="64"/>
        <v>1435.9866666667299</v>
      </c>
      <c r="L232" s="70">
        <f t="shared" si="66"/>
        <v>233952.4</v>
      </c>
      <c r="M232" s="13" t="s">
        <v>377</v>
      </c>
      <c r="N232" s="70">
        <f>'[2] FGN 2024 MGT Monthly'!$I$36</f>
        <v>162898.41666666701</v>
      </c>
      <c r="O232" s="853"/>
      <c r="P232" s="70"/>
      <c r="Q232" s="853">
        <f t="shared" si="67"/>
        <v>0</v>
      </c>
      <c r="R232" s="853">
        <f t="shared" si="68"/>
        <v>0</v>
      </c>
    </row>
    <row r="233" spans="1:18" ht="20.100000000000001" customHeight="1">
      <c r="A233" s="25">
        <v>51</v>
      </c>
      <c r="B233" s="9" t="s">
        <v>378</v>
      </c>
      <c r="C233" s="10" t="s">
        <v>557</v>
      </c>
      <c r="D233" s="13" t="s">
        <v>583</v>
      </c>
      <c r="E233" s="70">
        <v>213784</v>
      </c>
      <c r="F233" s="13" t="s">
        <v>379</v>
      </c>
      <c r="G233" s="70">
        <v>225750.58333333299</v>
      </c>
      <c r="H233" s="186">
        <f t="shared" si="69"/>
        <v>11966.583333332999</v>
      </c>
      <c r="I233" s="70">
        <v>17102.72</v>
      </c>
      <c r="J233" s="70">
        <f t="shared" si="63"/>
        <v>18060.0466666666</v>
      </c>
      <c r="K233" s="70">
        <f t="shared" si="64"/>
        <v>957.32666666659895</v>
      </c>
      <c r="L233" s="70">
        <f t="shared" si="66"/>
        <v>216720.55999999901</v>
      </c>
      <c r="M233" s="13" t="s">
        <v>379</v>
      </c>
      <c r="N233" s="70">
        <v>152068.83333333299</v>
      </c>
      <c r="O233" s="853"/>
      <c r="P233" s="70"/>
      <c r="Q233" s="853">
        <f t="shared" si="67"/>
        <v>0</v>
      </c>
      <c r="R233" s="853">
        <f t="shared" si="68"/>
        <v>0</v>
      </c>
    </row>
    <row r="234" spans="1:18" ht="20.100000000000001" customHeight="1">
      <c r="A234" s="25">
        <v>52</v>
      </c>
      <c r="B234" s="9" t="s">
        <v>380</v>
      </c>
      <c r="C234" s="10" t="s">
        <v>557</v>
      </c>
      <c r="D234" s="13" t="s">
        <v>583</v>
      </c>
      <c r="E234" s="70">
        <v>213784</v>
      </c>
      <c r="F234" s="13" t="s">
        <v>379</v>
      </c>
      <c r="G234" s="70">
        <v>225750.58333333299</v>
      </c>
      <c r="H234" s="186">
        <f t="shared" si="69"/>
        <v>11966.583333332999</v>
      </c>
      <c r="I234" s="70">
        <v>17102.72</v>
      </c>
      <c r="J234" s="70">
        <f t="shared" si="63"/>
        <v>18060.0466666666</v>
      </c>
      <c r="K234" s="70">
        <f t="shared" si="64"/>
        <v>957.32666666659895</v>
      </c>
      <c r="L234" s="70">
        <f t="shared" si="66"/>
        <v>216720.55999999901</v>
      </c>
      <c r="M234" s="13" t="s">
        <v>379</v>
      </c>
      <c r="N234" s="70">
        <v>152068.83333333299</v>
      </c>
      <c r="O234" s="853"/>
      <c r="P234" s="70"/>
      <c r="Q234" s="853">
        <f t="shared" si="67"/>
        <v>0</v>
      </c>
      <c r="R234" s="853">
        <f t="shared" si="68"/>
        <v>0</v>
      </c>
    </row>
    <row r="235" spans="1:18" ht="20.100000000000001" customHeight="1">
      <c r="A235" s="25">
        <v>53</v>
      </c>
      <c r="B235" s="9" t="s">
        <v>381</v>
      </c>
      <c r="C235" s="10" t="s">
        <v>557</v>
      </c>
      <c r="D235" s="13" t="s">
        <v>583</v>
      </c>
      <c r="E235" s="70">
        <v>213784</v>
      </c>
      <c r="F235" s="13" t="s">
        <v>379</v>
      </c>
      <c r="G235" s="70">
        <v>225750.58333333299</v>
      </c>
      <c r="H235" s="186">
        <f t="shared" si="69"/>
        <v>11966.583333332999</v>
      </c>
      <c r="I235" s="70">
        <v>17102.72</v>
      </c>
      <c r="J235" s="70">
        <f t="shared" si="63"/>
        <v>18060.0466666666</v>
      </c>
      <c r="K235" s="70">
        <f t="shared" si="64"/>
        <v>957.32666666659895</v>
      </c>
      <c r="L235" s="70">
        <f t="shared" si="66"/>
        <v>216720.55999999901</v>
      </c>
      <c r="M235" s="13" t="s">
        <v>379</v>
      </c>
      <c r="N235" s="70">
        <v>152068.83333333299</v>
      </c>
      <c r="O235" s="853"/>
      <c r="P235" s="70"/>
      <c r="Q235" s="853">
        <f t="shared" si="67"/>
        <v>0</v>
      </c>
      <c r="R235" s="853">
        <f t="shared" si="68"/>
        <v>0</v>
      </c>
    </row>
    <row r="236" spans="1:18" ht="20.100000000000001" customHeight="1">
      <c r="A236" s="25">
        <v>54</v>
      </c>
      <c r="B236" s="9" t="s">
        <v>382</v>
      </c>
      <c r="C236" s="10" t="s">
        <v>557</v>
      </c>
      <c r="D236" s="13" t="s">
        <v>583</v>
      </c>
      <c r="E236" s="70">
        <v>213784</v>
      </c>
      <c r="F236" s="13" t="s">
        <v>379</v>
      </c>
      <c r="G236" s="70">
        <v>225750.58333333299</v>
      </c>
      <c r="H236" s="186">
        <f t="shared" si="69"/>
        <v>11966.583333332999</v>
      </c>
      <c r="I236" s="70">
        <v>17102.72</v>
      </c>
      <c r="J236" s="70">
        <f t="shared" si="63"/>
        <v>18060.0466666666</v>
      </c>
      <c r="K236" s="70">
        <f t="shared" si="64"/>
        <v>957.32666666659895</v>
      </c>
      <c r="L236" s="70">
        <f t="shared" si="66"/>
        <v>216720.55999999901</v>
      </c>
      <c r="M236" s="13" t="s">
        <v>379</v>
      </c>
      <c r="N236" s="70">
        <v>152068.83333333299</v>
      </c>
      <c r="O236" s="853"/>
      <c r="P236" s="70"/>
      <c r="Q236" s="853">
        <f t="shared" si="67"/>
        <v>0</v>
      </c>
      <c r="R236" s="853">
        <f t="shared" si="68"/>
        <v>0</v>
      </c>
    </row>
    <row r="237" spans="1:18" ht="20.100000000000001" customHeight="1">
      <c r="A237" s="25">
        <v>55</v>
      </c>
      <c r="B237" s="9" t="s">
        <v>383</v>
      </c>
      <c r="C237" s="10" t="s">
        <v>557</v>
      </c>
      <c r="D237" s="13" t="s">
        <v>583</v>
      </c>
      <c r="E237" s="70">
        <v>213784</v>
      </c>
      <c r="F237" s="13" t="s">
        <v>379</v>
      </c>
      <c r="G237" s="70">
        <v>225750.58333333299</v>
      </c>
      <c r="H237" s="186">
        <f t="shared" si="69"/>
        <v>11966.583333332999</v>
      </c>
      <c r="I237" s="70">
        <v>17102.72</v>
      </c>
      <c r="J237" s="70">
        <f t="shared" si="63"/>
        <v>18060.0466666666</v>
      </c>
      <c r="K237" s="70">
        <f t="shared" si="64"/>
        <v>957.32666666659895</v>
      </c>
      <c r="L237" s="70">
        <f t="shared" si="66"/>
        <v>216720.55999999901</v>
      </c>
      <c r="M237" s="13" t="s">
        <v>379</v>
      </c>
      <c r="N237" s="70">
        <v>152068.83333333299</v>
      </c>
      <c r="O237" s="853"/>
      <c r="P237" s="70"/>
      <c r="Q237" s="853">
        <f t="shared" si="67"/>
        <v>0</v>
      </c>
      <c r="R237" s="853">
        <f t="shared" si="68"/>
        <v>0</v>
      </c>
    </row>
    <row r="238" spans="1:18" ht="20.100000000000001" customHeight="1">
      <c r="A238" s="25">
        <v>56</v>
      </c>
      <c r="B238" s="9" t="s">
        <v>384</v>
      </c>
      <c r="C238" s="10" t="s">
        <v>557</v>
      </c>
      <c r="D238" s="13" t="s">
        <v>583</v>
      </c>
      <c r="E238" s="70">
        <v>213784</v>
      </c>
      <c r="F238" s="13" t="s">
        <v>379</v>
      </c>
      <c r="G238" s="70">
        <v>225750.58333333299</v>
      </c>
      <c r="H238" s="186">
        <f t="shared" si="69"/>
        <v>11966.583333332999</v>
      </c>
      <c r="I238" s="70">
        <v>17102.72</v>
      </c>
      <c r="J238" s="70">
        <f t="shared" si="63"/>
        <v>18060.0466666666</v>
      </c>
      <c r="K238" s="70">
        <f t="shared" si="64"/>
        <v>957.32666666659895</v>
      </c>
      <c r="L238" s="70">
        <f t="shared" si="66"/>
        <v>216720.55999999901</v>
      </c>
      <c r="M238" s="13" t="s">
        <v>379</v>
      </c>
      <c r="N238" s="70">
        <v>152068.83333333299</v>
      </c>
      <c r="O238" s="853"/>
      <c r="P238" s="70"/>
      <c r="Q238" s="853">
        <f t="shared" si="67"/>
        <v>0</v>
      </c>
      <c r="R238" s="853">
        <f t="shared" si="68"/>
        <v>0</v>
      </c>
    </row>
    <row r="239" spans="1:18" ht="20.100000000000001" customHeight="1">
      <c r="A239" s="25">
        <v>57</v>
      </c>
      <c r="B239" s="16" t="s">
        <v>385</v>
      </c>
      <c r="C239" s="10" t="s">
        <v>557</v>
      </c>
      <c r="D239" s="13" t="s">
        <v>583</v>
      </c>
      <c r="E239" s="70">
        <v>213784</v>
      </c>
      <c r="F239" s="13" t="s">
        <v>386</v>
      </c>
      <c r="G239" s="70">
        <v>231733.83333333401</v>
      </c>
      <c r="H239" s="186">
        <f t="shared" si="69"/>
        <v>17949.833333334002</v>
      </c>
      <c r="I239" s="70">
        <v>17102.72</v>
      </c>
      <c r="J239" s="70">
        <f t="shared" si="63"/>
        <v>18538.706666666701</v>
      </c>
      <c r="K239" s="70">
        <f t="shared" si="64"/>
        <v>1435.9866666667001</v>
      </c>
      <c r="L239" s="70">
        <f t="shared" si="66"/>
        <v>222464.48</v>
      </c>
      <c r="M239" s="13" t="s">
        <v>386</v>
      </c>
      <c r="N239" s="865">
        <v>155678.66666666701</v>
      </c>
      <c r="O239" s="853"/>
      <c r="P239" s="70"/>
      <c r="Q239" s="853">
        <f t="shared" si="67"/>
        <v>0</v>
      </c>
      <c r="R239" s="853">
        <f t="shared" si="68"/>
        <v>0</v>
      </c>
    </row>
    <row r="240" spans="1:18" ht="20.100000000000001" customHeight="1">
      <c r="A240" s="25">
        <v>58</v>
      </c>
      <c r="B240" s="16" t="s">
        <v>387</v>
      </c>
      <c r="C240" s="10" t="s">
        <v>558</v>
      </c>
      <c r="D240" s="13" t="s">
        <v>584</v>
      </c>
      <c r="E240" s="70">
        <v>146356.75</v>
      </c>
      <c r="F240" s="13" t="s">
        <v>390</v>
      </c>
      <c r="G240" s="70">
        <v>149217.75</v>
      </c>
      <c r="H240" s="186">
        <f t="shared" si="69"/>
        <v>2861</v>
      </c>
      <c r="I240" s="70">
        <v>11708.54</v>
      </c>
      <c r="J240" s="70">
        <f t="shared" si="63"/>
        <v>11937.42</v>
      </c>
      <c r="K240" s="70">
        <f t="shared" si="64"/>
        <v>228.879999999999</v>
      </c>
      <c r="L240" s="70">
        <f t="shared" si="66"/>
        <v>143249.04</v>
      </c>
      <c r="M240" s="13" t="s">
        <v>390</v>
      </c>
      <c r="N240" s="70">
        <f>'[2] FGN 2024 MGT Monthly'!$M$34</f>
        <v>102619.5</v>
      </c>
      <c r="O240" s="853"/>
      <c r="P240" s="70"/>
      <c r="Q240" s="853">
        <f t="shared" si="67"/>
        <v>0</v>
      </c>
      <c r="R240" s="853">
        <f t="shared" si="68"/>
        <v>0</v>
      </c>
    </row>
    <row r="241" spans="1:18" ht="20.100000000000001" customHeight="1">
      <c r="A241" s="25">
        <v>59</v>
      </c>
      <c r="B241" s="9" t="s">
        <v>388</v>
      </c>
      <c r="C241" s="10" t="s">
        <v>389</v>
      </c>
      <c r="D241" s="13" t="s">
        <v>584</v>
      </c>
      <c r="E241" s="70">
        <v>146356.75</v>
      </c>
      <c r="F241" s="13" t="s">
        <v>390</v>
      </c>
      <c r="G241" s="70">
        <v>149217.75</v>
      </c>
      <c r="H241" s="186">
        <f t="shared" si="69"/>
        <v>2861</v>
      </c>
      <c r="I241" s="70">
        <v>11708.54</v>
      </c>
      <c r="J241" s="70">
        <f t="shared" si="63"/>
        <v>11937.42</v>
      </c>
      <c r="K241" s="70">
        <f t="shared" si="64"/>
        <v>228.879999999999</v>
      </c>
      <c r="L241" s="70">
        <f t="shared" si="66"/>
        <v>143249.04</v>
      </c>
      <c r="M241" s="13" t="s">
        <v>390</v>
      </c>
      <c r="N241" s="70">
        <f>'[2] FGN 2024 MGT Monthly'!$M$34</f>
        <v>102619.5</v>
      </c>
      <c r="O241" s="853"/>
      <c r="P241" s="70"/>
      <c r="Q241" s="853">
        <f t="shared" si="67"/>
        <v>0</v>
      </c>
      <c r="R241" s="853">
        <f t="shared" si="68"/>
        <v>0</v>
      </c>
    </row>
    <row r="242" spans="1:18" ht="20.100000000000001" customHeight="1">
      <c r="A242" s="25">
        <v>60</v>
      </c>
      <c r="B242" s="16" t="s">
        <v>391</v>
      </c>
      <c r="C242" s="10" t="s">
        <v>392</v>
      </c>
      <c r="D242" s="13" t="s">
        <v>395</v>
      </c>
      <c r="E242" s="70">
        <v>137773.5</v>
      </c>
      <c r="F242" s="13" t="s">
        <v>393</v>
      </c>
      <c r="G242" s="70">
        <v>140634.66666666701</v>
      </c>
      <c r="H242" s="186">
        <f t="shared" si="69"/>
        <v>2861.1666666670098</v>
      </c>
      <c r="I242" s="70">
        <v>11021.88</v>
      </c>
      <c r="J242" s="70">
        <f t="shared" si="63"/>
        <v>11250.7733333334</v>
      </c>
      <c r="K242" s="70">
        <f t="shared" si="64"/>
        <v>228.89333333340099</v>
      </c>
      <c r="L242" s="70">
        <f t="shared" si="66"/>
        <v>135009.28000000099</v>
      </c>
      <c r="M242" s="13" t="s">
        <v>393</v>
      </c>
      <c r="N242" s="70">
        <f>'[2] FGN 2024 MGT Monthly'!$J$34</f>
        <v>97920.666666666701</v>
      </c>
      <c r="O242" s="853"/>
      <c r="P242" s="70"/>
      <c r="Q242" s="853">
        <f t="shared" si="67"/>
        <v>0</v>
      </c>
      <c r="R242" s="853">
        <f t="shared" si="68"/>
        <v>0</v>
      </c>
    </row>
    <row r="243" spans="1:18" ht="20.100000000000001" customHeight="1">
      <c r="A243" s="25">
        <v>61</v>
      </c>
      <c r="B243" s="16" t="s">
        <v>394</v>
      </c>
      <c r="C243" s="10" t="s">
        <v>392</v>
      </c>
      <c r="D243" s="13" t="s">
        <v>397</v>
      </c>
      <c r="E243" s="70">
        <v>134912.66666666701</v>
      </c>
      <c r="F243" s="13" t="s">
        <v>395</v>
      </c>
      <c r="G243" s="70">
        <v>137773.5</v>
      </c>
      <c r="H243" s="186">
        <f t="shared" si="69"/>
        <v>2860.8333333329902</v>
      </c>
      <c r="I243" s="70">
        <v>10793.0133333333</v>
      </c>
      <c r="J243" s="70">
        <f t="shared" si="63"/>
        <v>11021.88</v>
      </c>
      <c r="K243" s="70">
        <f t="shared" si="64"/>
        <v>228.86666666670001</v>
      </c>
      <c r="L243" s="70">
        <f t="shared" si="66"/>
        <v>132262.56</v>
      </c>
      <c r="M243" s="13" t="s">
        <v>395</v>
      </c>
      <c r="N243" s="865">
        <v>96354.25</v>
      </c>
      <c r="O243" s="853"/>
      <c r="P243" s="70"/>
      <c r="Q243" s="853">
        <f t="shared" si="67"/>
        <v>0</v>
      </c>
      <c r="R243" s="853">
        <f t="shared" si="68"/>
        <v>0</v>
      </c>
    </row>
    <row r="244" spans="1:18" ht="20.100000000000001" customHeight="1">
      <c r="A244" s="25">
        <v>62</v>
      </c>
      <c r="B244" s="16" t="s">
        <v>396</v>
      </c>
      <c r="C244" s="10" t="s">
        <v>392</v>
      </c>
      <c r="D244" s="13" t="s">
        <v>397</v>
      </c>
      <c r="E244" s="70">
        <v>134912.66666666701</v>
      </c>
      <c r="F244" s="13" t="s">
        <v>397</v>
      </c>
      <c r="G244" s="70">
        <v>134912.66666666701</v>
      </c>
      <c r="H244" s="186">
        <f t="shared" si="69"/>
        <v>0</v>
      </c>
      <c r="I244" s="70">
        <v>10793.0133333333</v>
      </c>
      <c r="J244" s="70">
        <f t="shared" si="63"/>
        <v>10793.0133333334</v>
      </c>
      <c r="K244" s="70">
        <f t="shared" si="64"/>
        <v>1.00044417195022E-10</v>
      </c>
      <c r="L244" s="70">
        <f t="shared" si="66"/>
        <v>129516.16000000099</v>
      </c>
      <c r="M244" s="13" t="s">
        <v>397</v>
      </c>
      <c r="N244" s="865">
        <v>94788.166666666701</v>
      </c>
      <c r="O244" s="853"/>
      <c r="P244" s="70"/>
      <c r="Q244" s="853">
        <f t="shared" si="67"/>
        <v>0</v>
      </c>
      <c r="R244" s="853">
        <f t="shared" si="68"/>
        <v>0</v>
      </c>
    </row>
    <row r="245" spans="1:18" ht="20.100000000000001" customHeight="1">
      <c r="A245" s="25">
        <v>63</v>
      </c>
      <c r="B245" s="16" t="s">
        <v>398</v>
      </c>
      <c r="C245" s="10" t="s">
        <v>399</v>
      </c>
      <c r="D245" s="13" t="s">
        <v>585</v>
      </c>
      <c r="E245" s="70">
        <v>129049.41666666701</v>
      </c>
      <c r="F245" s="13" t="s">
        <v>400</v>
      </c>
      <c r="G245" s="70">
        <v>131512.16666666701</v>
      </c>
      <c r="H245" s="186">
        <f t="shared" si="69"/>
        <v>2462.7499999996498</v>
      </c>
      <c r="I245" s="70">
        <v>10323.9533333333</v>
      </c>
      <c r="J245" s="70">
        <f t="shared" si="63"/>
        <v>10520.973333333401</v>
      </c>
      <c r="K245" s="70">
        <f t="shared" si="64"/>
        <v>197.0200000001</v>
      </c>
      <c r="L245" s="70">
        <f t="shared" si="66"/>
        <v>126251.680000001</v>
      </c>
      <c r="M245" s="13" t="s">
        <v>400</v>
      </c>
      <c r="N245" s="70">
        <f>'[2] FGN 2024 MGT Monthly'!$K$33</f>
        <v>92926.5</v>
      </c>
      <c r="O245" s="853"/>
      <c r="P245" s="70"/>
      <c r="Q245" s="853">
        <f t="shared" si="67"/>
        <v>0</v>
      </c>
      <c r="R245" s="853">
        <f t="shared" si="68"/>
        <v>0</v>
      </c>
    </row>
    <row r="246" spans="1:18" ht="20.100000000000001" customHeight="1">
      <c r="A246" s="25">
        <v>64</v>
      </c>
      <c r="B246" s="16" t="s">
        <v>401</v>
      </c>
      <c r="C246" s="10" t="s">
        <v>399</v>
      </c>
      <c r="D246" s="13" t="s">
        <v>585</v>
      </c>
      <c r="E246" s="70">
        <v>129049.41666666701</v>
      </c>
      <c r="F246" s="13" t="s">
        <v>400</v>
      </c>
      <c r="G246" s="70">
        <v>131512.16666666701</v>
      </c>
      <c r="H246" s="186">
        <f t="shared" si="69"/>
        <v>2462.7499999996498</v>
      </c>
      <c r="I246" s="70">
        <v>10323.9533333333</v>
      </c>
      <c r="J246" s="70">
        <f t="shared" si="63"/>
        <v>10520.973333333401</v>
      </c>
      <c r="K246" s="70">
        <f t="shared" si="64"/>
        <v>197.0200000001</v>
      </c>
      <c r="L246" s="70">
        <f t="shared" si="66"/>
        <v>126251.680000001</v>
      </c>
      <c r="M246" s="13" t="s">
        <v>400</v>
      </c>
      <c r="N246" s="70">
        <f>'[2] FGN 2024 MGT Monthly'!$K$33</f>
        <v>92926.5</v>
      </c>
      <c r="O246" s="853"/>
      <c r="P246" s="70"/>
      <c r="Q246" s="853">
        <f t="shared" si="67"/>
        <v>0</v>
      </c>
      <c r="R246" s="853">
        <f t="shared" si="68"/>
        <v>0</v>
      </c>
    </row>
    <row r="247" spans="1:18" ht="20.100000000000001" customHeight="1">
      <c r="A247" s="25">
        <v>65</v>
      </c>
      <c r="B247" s="16" t="s">
        <v>402</v>
      </c>
      <c r="C247" s="10" t="s">
        <v>399</v>
      </c>
      <c r="D247" s="13" t="s">
        <v>585</v>
      </c>
      <c r="E247" s="70">
        <v>129049.41666666701</v>
      </c>
      <c r="F247" s="13" t="s">
        <v>400</v>
      </c>
      <c r="G247" s="70">
        <v>131512.16666666701</v>
      </c>
      <c r="H247" s="186">
        <f t="shared" si="69"/>
        <v>2462.7499999996498</v>
      </c>
      <c r="I247" s="70">
        <v>10323.9533333333</v>
      </c>
      <c r="J247" s="70">
        <f t="shared" ref="J247:J249" si="70">G247*0.08</f>
        <v>10520.973333333301</v>
      </c>
      <c r="K247" s="70">
        <f t="shared" ref="K247:K249" si="71">J247-I247</f>
        <v>197.02000000003301</v>
      </c>
      <c r="L247" s="70">
        <f t="shared" si="66"/>
        <v>126251.68</v>
      </c>
      <c r="M247" s="13" t="s">
        <v>400</v>
      </c>
      <c r="N247" s="70">
        <f>'[2] FGN 2024 MGT Monthly'!$K$33</f>
        <v>92926.5</v>
      </c>
      <c r="O247" s="853"/>
      <c r="P247" s="70"/>
      <c r="Q247" s="853">
        <f t="shared" si="67"/>
        <v>0</v>
      </c>
      <c r="R247" s="853">
        <f t="shared" si="68"/>
        <v>0</v>
      </c>
    </row>
    <row r="248" spans="1:18" ht="20.100000000000001" customHeight="1">
      <c r="A248" s="25">
        <v>66</v>
      </c>
      <c r="B248" s="16" t="s">
        <v>403</v>
      </c>
      <c r="C248" s="10" t="s">
        <v>404</v>
      </c>
      <c r="D248" s="13" t="s">
        <v>393</v>
      </c>
      <c r="E248" s="70">
        <v>140634.66666666701</v>
      </c>
      <c r="F248" s="13" t="s">
        <v>405</v>
      </c>
      <c r="G248" s="70">
        <v>143495.66666666701</v>
      </c>
      <c r="H248" s="186">
        <f t="shared" si="69"/>
        <v>2860.9999999996799</v>
      </c>
      <c r="I248" s="70">
        <v>11250.7733333333</v>
      </c>
      <c r="J248" s="70">
        <f t="shared" si="70"/>
        <v>11479.653333333301</v>
      </c>
      <c r="K248" s="70">
        <f t="shared" si="71"/>
        <v>228.88000000003601</v>
      </c>
      <c r="L248" s="70">
        <f t="shared" si="66"/>
        <v>137755.84</v>
      </c>
      <c r="M248" s="13" t="s">
        <v>405</v>
      </c>
      <c r="N248" s="865">
        <v>99486.916666666701</v>
      </c>
      <c r="O248" s="853">
        <f>N248*0.025</f>
        <v>2487.1729166666701</v>
      </c>
      <c r="P248" s="70">
        <f>2448.02</f>
        <v>2448.02</v>
      </c>
      <c r="Q248" s="853">
        <f t="shared" si="67"/>
        <v>39.152916666667799</v>
      </c>
      <c r="R248" s="853">
        <f t="shared" si="68"/>
        <v>29846.075000000001</v>
      </c>
    </row>
    <row r="249" spans="1:18" ht="20.100000000000001" customHeight="1">
      <c r="A249" s="25">
        <v>67</v>
      </c>
      <c r="B249" s="16" t="s">
        <v>406</v>
      </c>
      <c r="C249" s="10" t="s">
        <v>404</v>
      </c>
      <c r="D249" s="13" t="s">
        <v>393</v>
      </c>
      <c r="E249" s="70">
        <v>140634.66666666701</v>
      </c>
      <c r="F249" s="13" t="s">
        <v>405</v>
      </c>
      <c r="G249" s="70">
        <v>143495.66666666701</v>
      </c>
      <c r="H249" s="186">
        <f t="shared" si="69"/>
        <v>2860.9999999996799</v>
      </c>
      <c r="I249" s="70">
        <v>11250.7733333333</v>
      </c>
      <c r="J249" s="70">
        <f t="shared" si="70"/>
        <v>11479.653333333301</v>
      </c>
      <c r="K249" s="70">
        <f t="shared" si="71"/>
        <v>228.88000000003601</v>
      </c>
      <c r="L249" s="70">
        <f t="shared" si="66"/>
        <v>137755.84</v>
      </c>
      <c r="M249" s="13" t="s">
        <v>405</v>
      </c>
      <c r="N249" s="865">
        <v>99486.916666666701</v>
      </c>
      <c r="O249" s="853"/>
      <c r="P249" s="70"/>
      <c r="Q249" s="853">
        <f t="shared" si="67"/>
        <v>0</v>
      </c>
      <c r="R249" s="853">
        <f t="shared" si="68"/>
        <v>0</v>
      </c>
    </row>
    <row r="250" spans="1:18" ht="30.75" customHeight="1">
      <c r="A250" s="25"/>
      <c r="B250" s="6" t="s">
        <v>120</v>
      </c>
      <c r="C250" s="26" t="s">
        <v>586</v>
      </c>
      <c r="D250" s="27"/>
      <c r="E250" s="78">
        <f t="shared" ref="E250:K250" si="72">SUM(E183:E249)</f>
        <v>22570678.666666701</v>
      </c>
      <c r="F250" s="78"/>
      <c r="G250" s="78">
        <f t="shared" si="72"/>
        <v>23260400.916666701</v>
      </c>
      <c r="H250" s="78">
        <f t="shared" si="72"/>
        <v>682712.33333332802</v>
      </c>
      <c r="I250" s="78">
        <f t="shared" si="72"/>
        <v>1780799.7333333299</v>
      </c>
      <c r="J250" s="78">
        <f t="shared" si="72"/>
        <v>1837240.0066666701</v>
      </c>
      <c r="K250" s="78">
        <f t="shared" si="72"/>
        <v>56440.273333332902</v>
      </c>
      <c r="L250" s="78">
        <f t="shared" ref="L250:R250" si="73">SUM(L183:L249)</f>
        <v>22046880.079999998</v>
      </c>
      <c r="M250" s="78">
        <f t="shared" si="73"/>
        <v>0</v>
      </c>
      <c r="N250" s="78">
        <f t="shared" si="73"/>
        <v>14772324.9166667</v>
      </c>
      <c r="O250" s="78">
        <f t="shared" si="73"/>
        <v>170278.02083333299</v>
      </c>
      <c r="P250" s="78">
        <f t="shared" si="73"/>
        <v>166063.87625</v>
      </c>
      <c r="Q250" s="78">
        <f t="shared" si="73"/>
        <v>4214.1445833333</v>
      </c>
      <c r="R250" s="78">
        <f t="shared" si="73"/>
        <v>2043336.25</v>
      </c>
    </row>
    <row r="251" spans="1:18" ht="30" customHeight="1">
      <c r="A251" s="2"/>
      <c r="B251" s="28" t="s">
        <v>408</v>
      </c>
      <c r="C251" s="29">
        <f>C48+C58+C73+C78+C92+C106+C122+C132+C146+C165+C180+C250</f>
        <v>199</v>
      </c>
      <c r="D251" s="30"/>
      <c r="E251" s="193">
        <f t="shared" ref="E251:K251" si="74">E250+E180+E165+E157+E146+E132+E122+E106+E92+E78+E73+E58+E48</f>
        <v>99651523</v>
      </c>
      <c r="F251" s="193"/>
      <c r="G251" s="193">
        <f t="shared" si="74"/>
        <v>101760928.666667</v>
      </c>
      <c r="H251" s="961">
        <f t="shared" si="74"/>
        <v>2102395.75</v>
      </c>
      <c r="I251" s="193">
        <f t="shared" si="74"/>
        <v>7723483.3200000003</v>
      </c>
      <c r="J251" s="193">
        <f t="shared" si="74"/>
        <v>7849660.4666666603</v>
      </c>
      <c r="K251" s="961">
        <f t="shared" si="74"/>
        <v>126177.146666666</v>
      </c>
      <c r="L251" s="193">
        <f t="shared" ref="L251:R251" si="75">L250+L180+L165+L157+L146+L132+L122+L106+L92+L78+L73+L58+L48</f>
        <v>94195925.599999905</v>
      </c>
      <c r="M251" s="193">
        <f t="shared" si="75"/>
        <v>0</v>
      </c>
      <c r="N251" s="193">
        <f t="shared" si="75"/>
        <v>60639287.833333366</v>
      </c>
      <c r="O251" s="193">
        <f t="shared" si="75"/>
        <v>677813.76875000005</v>
      </c>
      <c r="P251" s="193">
        <f t="shared" si="75"/>
        <v>664098.96966666705</v>
      </c>
      <c r="Q251" s="961">
        <f t="shared" si="75"/>
        <v>13714.799083333301</v>
      </c>
      <c r="R251" s="193">
        <f t="shared" si="75"/>
        <v>8133765.2249999996</v>
      </c>
    </row>
    <row r="252" spans="1:18" ht="20.100000000000001" customHeight="1">
      <c r="P252" s="194"/>
    </row>
    <row r="253" spans="1:18" ht="20.100000000000001" customHeight="1">
      <c r="P253" s="194"/>
    </row>
  </sheetData>
  <mergeCells count="1">
    <mergeCell ref="A1:G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9" max="7" man="1"/>
    <brk id="106" max="7" man="1"/>
    <brk id="158" max="7" man="1"/>
    <brk id="209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D139" activePane="bottomRight" state="frozen"/>
      <selection pane="topRight"/>
      <selection pane="bottomLeft"/>
      <selection pane="bottomRight" activeCell="F191" sqref="F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157" t="s">
        <v>0</v>
      </c>
      <c r="B1" s="1157"/>
      <c r="C1" s="1157"/>
      <c r="D1" s="1157"/>
      <c r="E1" s="1157"/>
      <c r="F1" s="1158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587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184" t="s">
        <v>589</v>
      </c>
      <c r="H4" s="184" t="s">
        <v>590</v>
      </c>
      <c r="I4" s="184" t="s">
        <v>591</v>
      </c>
      <c r="J4" s="858" t="s">
        <v>592</v>
      </c>
      <c r="K4" s="858" t="s">
        <v>593</v>
      </c>
      <c r="L4" s="858" t="s">
        <v>594</v>
      </c>
      <c r="M4" s="858" t="s">
        <v>595</v>
      </c>
      <c r="N4" s="858" t="s">
        <v>596</v>
      </c>
      <c r="O4" s="858" t="s">
        <v>572</v>
      </c>
      <c r="P4" s="858" t="s">
        <v>597</v>
      </c>
      <c r="Q4" s="858" t="s">
        <v>598</v>
      </c>
    </row>
    <row r="5" spans="1:17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67" t="s">
        <v>21</v>
      </c>
    </row>
    <row r="6" spans="1:17" ht="17.25" customHeight="1">
      <c r="A6" s="2"/>
      <c r="B6" s="2"/>
      <c r="C6" s="6"/>
      <c r="D6" s="6"/>
      <c r="E6" s="8" t="s">
        <v>599</v>
      </c>
      <c r="F6" s="852" t="s">
        <v>600</v>
      </c>
      <c r="G6" s="8" t="s">
        <v>601</v>
      </c>
      <c r="H6" s="8" t="s">
        <v>602</v>
      </c>
      <c r="I6" s="859" t="s">
        <v>603</v>
      </c>
      <c r="J6" s="859" t="s">
        <v>604</v>
      </c>
      <c r="K6" s="859" t="s">
        <v>605</v>
      </c>
      <c r="L6" s="859" t="s">
        <v>606</v>
      </c>
      <c r="M6" s="859" t="s">
        <v>607</v>
      </c>
      <c r="N6" s="859" t="s">
        <v>608</v>
      </c>
      <c r="O6" s="859" t="s">
        <v>609</v>
      </c>
      <c r="P6" s="859" t="s">
        <v>610</v>
      </c>
      <c r="Q6" s="859" t="s">
        <v>611</v>
      </c>
    </row>
    <row r="7" spans="1:17" ht="20.100000000000001" customHeight="1">
      <c r="A7" s="7" t="s">
        <v>22</v>
      </c>
      <c r="B7" s="6" t="s">
        <v>23</v>
      </c>
      <c r="C7" s="6"/>
      <c r="D7" s="6"/>
      <c r="E7" s="8"/>
      <c r="F7" s="852"/>
      <c r="G7" s="8"/>
      <c r="H7" s="8" t="s">
        <v>612</v>
      </c>
      <c r="I7" s="8" t="s">
        <v>613</v>
      </c>
      <c r="J7" s="859" t="s">
        <v>614</v>
      </c>
      <c r="K7" s="859" t="s">
        <v>615</v>
      </c>
      <c r="L7" s="859" t="s">
        <v>616</v>
      </c>
      <c r="M7" s="859"/>
      <c r="N7" s="859" t="s">
        <v>617</v>
      </c>
      <c r="O7" s="859" t="s">
        <v>618</v>
      </c>
      <c r="P7" s="859" t="s">
        <v>618</v>
      </c>
      <c r="Q7" s="859" t="s">
        <v>618</v>
      </c>
    </row>
    <row r="8" spans="1:17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34</v>
      </c>
      <c r="C12" s="10" t="s">
        <v>35</v>
      </c>
      <c r="D12" s="13" t="s">
        <v>209</v>
      </c>
      <c r="E12" s="70">
        <v>716034</v>
      </c>
      <c r="F12" s="853">
        <f>'[3] FGN 2024 MGT Monthly'!$I$44</f>
        <v>539028</v>
      </c>
      <c r="G12" s="70">
        <f>'[3]Peculiar Allowance'!$I$44</f>
        <v>339980.91666666669</v>
      </c>
      <c r="H12" s="186">
        <f t="shared" si="0"/>
        <v>879008.91666666674</v>
      </c>
      <c r="I12" s="186">
        <f t="shared" si="1"/>
        <v>162974.91666666674</v>
      </c>
      <c r="J12" s="860">
        <v>59136.286666666703</v>
      </c>
      <c r="K12" s="860">
        <f t="shared" si="6"/>
        <v>70320.713333333348</v>
      </c>
      <c r="L12" s="860">
        <f t="shared" si="2"/>
        <v>11184.426666666644</v>
      </c>
      <c r="M12" s="860">
        <v>10293.3979166667</v>
      </c>
      <c r="N12" s="860">
        <f t="shared" si="7"/>
        <v>13475.7</v>
      </c>
      <c r="O12" s="860">
        <f t="shared" si="3"/>
        <v>3182.3020833333012</v>
      </c>
      <c r="P12" s="860">
        <f t="shared" si="4"/>
        <v>843848.56000000017</v>
      </c>
      <c r="Q12" s="860">
        <f t="shared" si="5"/>
        <v>161708.40000000002</v>
      </c>
    </row>
    <row r="13" spans="1:17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3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>
        <f t="shared" si="8"/>
        <v>7571.9666666666699</v>
      </c>
      <c r="O23" s="860">
        <f t="shared" si="3"/>
        <v>7571.9666666666699</v>
      </c>
      <c r="P23" s="860">
        <f t="shared" si="4"/>
        <v>463356.15999999997</v>
      </c>
      <c r="Q23" s="860">
        <f t="shared" si="5"/>
        <v>90863.600000000093</v>
      </c>
    </row>
    <row r="24" spans="1:17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>
        <f t="shared" ref="N27:N29" si="9">0.025*F27</f>
        <v>6021.8645833333203</v>
      </c>
      <c r="O27" s="860">
        <f t="shared" si="3"/>
        <v>6021.8645833333203</v>
      </c>
      <c r="P27" s="860">
        <f t="shared" si="4"/>
        <v>365895.03999999899</v>
      </c>
      <c r="Q27" s="860">
        <f t="shared" si="5"/>
        <v>72262.374999999898</v>
      </c>
    </row>
    <row r="28" spans="1:17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>
        <f t="shared" si="9"/>
        <v>5690.3937500000002</v>
      </c>
      <c r="O28" s="860">
        <f t="shared" si="3"/>
        <v>5690.3937500000002</v>
      </c>
      <c r="P28" s="860">
        <f t="shared" si="4"/>
        <v>341107.84</v>
      </c>
      <c r="Q28" s="860">
        <f t="shared" si="5"/>
        <v>68284.725000000006</v>
      </c>
    </row>
    <row r="29" spans="1:17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>
        <f t="shared" si="9"/>
        <v>5690.3937500000002</v>
      </c>
      <c r="O29" s="860">
        <f t="shared" si="3"/>
        <v>5690.3937500000002</v>
      </c>
      <c r="P29" s="860">
        <f t="shared" si="4"/>
        <v>341107.84</v>
      </c>
      <c r="Q29" s="860">
        <f t="shared" si="5"/>
        <v>68284.725000000006</v>
      </c>
    </row>
    <row r="30" spans="1:17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 t="shared" ref="N34:N38" si="10"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>
        <f t="shared" si="10"/>
        <v>4909.1104166666801</v>
      </c>
      <c r="O37" s="860">
        <f t="shared" si="3"/>
        <v>4909.1104166666801</v>
      </c>
      <c r="P37" s="860">
        <f t="shared" si="4"/>
        <v>289834.32</v>
      </c>
      <c r="Q37" s="860">
        <f t="shared" si="5"/>
        <v>58909.325000000099</v>
      </c>
    </row>
    <row r="38" spans="1:17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>
        <f t="shared" si="10"/>
        <v>4804.4854166666801</v>
      </c>
      <c r="O38" s="860">
        <f t="shared" si="3"/>
        <v>4804.4854166666801</v>
      </c>
      <c r="P38" s="860">
        <f t="shared" si="4"/>
        <v>283104.80000000098</v>
      </c>
      <c r="Q38" s="860">
        <f t="shared" si="5"/>
        <v>57653.825000000099</v>
      </c>
    </row>
    <row r="39" spans="1:17" ht="26.25" customHeight="1">
      <c r="A39" s="8"/>
      <c r="B39" s="18" t="s">
        <v>120</v>
      </c>
      <c r="C39" s="19">
        <v>31</v>
      </c>
      <c r="D39" s="13"/>
      <c r="E39" s="187">
        <f t="shared" ref="E39:Q39" si="11">SUM(E8:E38)</f>
        <v>14073003.666999999</v>
      </c>
      <c r="F39" s="854">
        <f t="shared" si="11"/>
        <v>10680273.500000002</v>
      </c>
      <c r="G39" s="187">
        <f t="shared" si="11"/>
        <v>6613927.2500000009</v>
      </c>
      <c r="H39" s="187">
        <f t="shared" si="11"/>
        <v>17294200.750000004</v>
      </c>
      <c r="I39" s="187">
        <f t="shared" si="11"/>
        <v>3221197.0829999973</v>
      </c>
      <c r="J39" s="187">
        <f t="shared" si="11"/>
        <v>914813.32</v>
      </c>
      <c r="K39" s="187">
        <f t="shared" si="11"/>
        <v>1153420.5533333335</v>
      </c>
      <c r="L39" s="187">
        <f t="shared" si="11"/>
        <v>238607.23333333351</v>
      </c>
      <c r="M39" s="187">
        <f t="shared" si="11"/>
        <v>48931.972916666702</v>
      </c>
      <c r="N39" s="187">
        <f t="shared" si="11"/>
        <v>102666.25624999999</v>
      </c>
      <c r="O39" s="187">
        <f t="shared" si="11"/>
        <v>53734.283333333296</v>
      </c>
      <c r="P39" s="187">
        <f t="shared" si="11"/>
        <v>13841046.639999995</v>
      </c>
      <c r="Q39" s="187">
        <f t="shared" si="11"/>
        <v>1231995.0750000004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121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2">F42+G42</f>
        <v>1747106.41666666</v>
      </c>
      <c r="I42" s="186">
        <f t="shared" ref="I42:I45" si="13">H42-E42</f>
        <v>311386.41666666302</v>
      </c>
      <c r="J42" s="860">
        <v>114857.60000000001</v>
      </c>
      <c r="K42" s="860">
        <f t="shared" ref="K42:K45" si="14">H42*0.08</f>
        <v>139768.51333333299</v>
      </c>
      <c r="L42" s="860">
        <f t="shared" ref="L42:L45" si="15">K42-J42</f>
        <v>24910.913333332999</v>
      </c>
      <c r="M42" s="860"/>
      <c r="N42" s="860"/>
      <c r="O42" s="860">
        <f t="shared" ref="O42:O45" si="16">N42-M42</f>
        <v>0</v>
      </c>
      <c r="P42" s="860">
        <f t="shared" ref="P42:P45" si="17">K42*12</f>
        <v>1677222.16</v>
      </c>
      <c r="Q42" s="860"/>
    </row>
    <row r="43" spans="1:17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2"/>
        <v>381140.66666666599</v>
      </c>
      <c r="I43" s="186">
        <f t="shared" si="13"/>
        <v>80175.083333332994</v>
      </c>
      <c r="J43" s="860">
        <v>23442.3733333333</v>
      </c>
      <c r="K43" s="860">
        <f t="shared" si="14"/>
        <v>30491.253333333301</v>
      </c>
      <c r="L43" s="860">
        <f t="shared" si="15"/>
        <v>7048.8799999999801</v>
      </c>
      <c r="M43" s="860"/>
      <c r="N43" s="860">
        <f>0.025*F43</f>
        <v>6021.8645833333203</v>
      </c>
      <c r="O43" s="860">
        <f t="shared" si="16"/>
        <v>6021.8645833333203</v>
      </c>
      <c r="P43" s="860">
        <f t="shared" si="17"/>
        <v>365895.03999999899</v>
      </c>
      <c r="Q43" s="860"/>
    </row>
    <row r="44" spans="1:17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186">
        <v>143964.66666666701</v>
      </c>
      <c r="H44" s="855">
        <f t="shared" si="12"/>
        <v>390135.83333333401</v>
      </c>
      <c r="I44" s="186">
        <f t="shared" si="13"/>
        <v>81234.333333333998</v>
      </c>
      <c r="J44" s="860">
        <v>24077.246666666699</v>
      </c>
      <c r="K44" s="860">
        <f t="shared" si="14"/>
        <v>31210.866666666701</v>
      </c>
      <c r="L44" s="860">
        <f t="shared" si="15"/>
        <v>7133.6200000000199</v>
      </c>
      <c r="M44" s="860"/>
      <c r="N44" s="860"/>
      <c r="O44" s="860">
        <f t="shared" si="16"/>
        <v>0</v>
      </c>
      <c r="P44" s="860">
        <f t="shared" si="17"/>
        <v>374530.40000000101</v>
      </c>
      <c r="Q44" s="860"/>
    </row>
    <row r="45" spans="1:17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186">
        <v>120978.25</v>
      </c>
      <c r="H45" s="855">
        <f t="shared" si="12"/>
        <v>338711.66666666698</v>
      </c>
      <c r="I45" s="186">
        <f t="shared" si="13"/>
        <v>75546.333333333998</v>
      </c>
      <c r="J45" s="860">
        <v>20467.919999999998</v>
      </c>
      <c r="K45" s="860">
        <f t="shared" si="14"/>
        <v>27096.9333333334</v>
      </c>
      <c r="L45" s="860">
        <f t="shared" si="15"/>
        <v>6629.0133333333597</v>
      </c>
      <c r="M45" s="860"/>
      <c r="N45" s="860">
        <f>0.025*F45</f>
        <v>5443.3354166666804</v>
      </c>
      <c r="O45" s="860">
        <f t="shared" si="16"/>
        <v>5443.3354166666804</v>
      </c>
      <c r="P45" s="860">
        <f t="shared" si="17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8">SUM(E42:E45)</f>
        <v>2308752.4166666698</v>
      </c>
      <c r="F46" s="854">
        <f t="shared" si="18"/>
        <v>1791556.25</v>
      </c>
      <c r="G46" s="187">
        <f t="shared" si="18"/>
        <v>1065538.33333333</v>
      </c>
      <c r="H46" s="187">
        <f t="shared" si="18"/>
        <v>2857094.5833333302</v>
      </c>
      <c r="I46" s="187">
        <f t="shared" si="18"/>
        <v>548342.16666666395</v>
      </c>
      <c r="J46" s="187">
        <f t="shared" si="18"/>
        <v>182845.14</v>
      </c>
      <c r="K46" s="187">
        <f t="shared" si="18"/>
        <v>228567.56666666601</v>
      </c>
      <c r="L46" s="187">
        <f t="shared" si="18"/>
        <v>45722.426666666397</v>
      </c>
      <c r="M46" s="187">
        <f t="shared" si="18"/>
        <v>0</v>
      </c>
      <c r="N46" s="187">
        <f t="shared" si="18"/>
        <v>11465.2</v>
      </c>
      <c r="O46" s="187">
        <f t="shared" si="18"/>
        <v>11465.2</v>
      </c>
      <c r="P46" s="187">
        <f t="shared" si="18"/>
        <v>2742810.8</v>
      </c>
      <c r="Q46" s="187">
        <f t="shared" si="18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137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186">
        <v>350637.25</v>
      </c>
      <c r="H49" s="855">
        <f t="shared" ref="H49:H56" si="19">F49+G49</f>
        <v>905306.75</v>
      </c>
      <c r="I49" s="186">
        <f t="shared" ref="I49:I56" si="20">H49-E49</f>
        <v>142933.58333333299</v>
      </c>
      <c r="J49" s="860">
        <v>59136.286666666703</v>
      </c>
      <c r="K49" s="860">
        <f t="shared" ref="K49:K56" si="21">H49*0.08</f>
        <v>72424.539999999994</v>
      </c>
      <c r="L49" s="860">
        <f t="shared" ref="L49:L56" si="22">K49-J49</f>
        <v>13288.253333333299</v>
      </c>
      <c r="M49" s="860"/>
      <c r="N49" s="860"/>
      <c r="O49" s="860">
        <f t="shared" ref="O49:O56" si="23">N49-M49</f>
        <v>0</v>
      </c>
      <c r="P49" s="860">
        <f t="shared" ref="P49:P56" si="24">K49*12</f>
        <v>869094.48</v>
      </c>
      <c r="Q49" s="860"/>
    </row>
    <row r="50" spans="1:17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186">
        <v>285466.5</v>
      </c>
      <c r="H50" s="855">
        <f t="shared" si="19"/>
        <v>744477</v>
      </c>
      <c r="I50" s="186">
        <f t="shared" si="20"/>
        <v>123801.41666666701</v>
      </c>
      <c r="J50" s="860">
        <v>49654.046666666698</v>
      </c>
      <c r="K50" s="860">
        <f t="shared" si="21"/>
        <v>59558.16</v>
      </c>
      <c r="L50" s="860">
        <f t="shared" si="22"/>
        <v>9904.1133333333091</v>
      </c>
      <c r="M50" s="860"/>
      <c r="N50" s="860"/>
      <c r="O50" s="860">
        <f t="shared" si="23"/>
        <v>0</v>
      </c>
      <c r="P50" s="860">
        <f t="shared" si="24"/>
        <v>714697.92</v>
      </c>
      <c r="Q50" s="860"/>
    </row>
    <row r="51" spans="1:17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186">
        <v>285466.5</v>
      </c>
      <c r="H51" s="855">
        <f t="shared" si="19"/>
        <v>744477</v>
      </c>
      <c r="I51" s="186">
        <f t="shared" si="20"/>
        <v>123801.41666666701</v>
      </c>
      <c r="J51" s="860">
        <v>49654.046666666698</v>
      </c>
      <c r="K51" s="860">
        <f t="shared" si="21"/>
        <v>59558.16</v>
      </c>
      <c r="L51" s="860">
        <f t="shared" si="22"/>
        <v>9904.1133333333091</v>
      </c>
      <c r="M51" s="860">
        <v>8380.2270833333296</v>
      </c>
      <c r="N51" s="860">
        <f>0.025*F51</f>
        <v>11475.262500000001</v>
      </c>
      <c r="O51" s="860">
        <f t="shared" si="23"/>
        <v>3095.0354166666698</v>
      </c>
      <c r="P51" s="860">
        <f t="shared" si="24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9"/>
        <v>722595.5</v>
      </c>
      <c r="I52" s="186">
        <f t="shared" si="20"/>
        <v>121198.66666666701</v>
      </c>
      <c r="J52" s="860">
        <v>46569.446666666699</v>
      </c>
      <c r="K52" s="860">
        <f t="shared" si="21"/>
        <v>57807.64</v>
      </c>
      <c r="L52" s="860">
        <f t="shared" si="22"/>
        <v>11238.1933333333</v>
      </c>
      <c r="M52" s="860"/>
      <c r="N52" s="860"/>
      <c r="O52" s="860">
        <f t="shared" si="23"/>
        <v>0</v>
      </c>
      <c r="P52" s="860">
        <f t="shared" si="24"/>
        <v>693691.68</v>
      </c>
      <c r="Q52" s="860"/>
    </row>
    <row r="53" spans="1:17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9"/>
        <v>700713.91666666605</v>
      </c>
      <c r="I53" s="186">
        <f t="shared" si="20"/>
        <v>118595.83333333299</v>
      </c>
      <c r="J53" s="860">
        <v>46569.45</v>
      </c>
      <c r="K53" s="860">
        <f t="shared" si="21"/>
        <v>56057.113333333298</v>
      </c>
      <c r="L53" s="860">
        <f t="shared" si="22"/>
        <v>9487.6633333332902</v>
      </c>
      <c r="M53" s="860"/>
      <c r="N53" s="860"/>
      <c r="O53" s="860">
        <f t="shared" si="23"/>
        <v>0</v>
      </c>
      <c r="P53" s="860">
        <f t="shared" si="24"/>
        <v>672685.35999999905</v>
      </c>
      <c r="Q53" s="860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186">
        <v>143964.66666666701</v>
      </c>
      <c r="H54" s="855">
        <f t="shared" si="19"/>
        <v>390135.83333333401</v>
      </c>
      <c r="I54" s="186">
        <f t="shared" si="20"/>
        <v>81234.333333333998</v>
      </c>
      <c r="J54" s="860">
        <v>24077.246666666699</v>
      </c>
      <c r="K54" s="860">
        <f t="shared" si="21"/>
        <v>31210.866666666701</v>
      </c>
      <c r="L54" s="860">
        <f t="shared" si="22"/>
        <v>7133.6200000000199</v>
      </c>
      <c r="M54" s="860"/>
      <c r="N54" s="860"/>
      <c r="O54" s="860">
        <f t="shared" si="23"/>
        <v>0</v>
      </c>
      <c r="P54" s="860">
        <f t="shared" si="24"/>
        <v>374530.40000000101</v>
      </c>
      <c r="Q54" s="860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9"/>
        <v>347016.16666666599</v>
      </c>
      <c r="I55" s="186">
        <f t="shared" si="20"/>
        <v>76534.499999998996</v>
      </c>
      <c r="J55" s="860">
        <v>21053.226666666698</v>
      </c>
      <c r="K55" s="860">
        <f t="shared" si="21"/>
        <v>27761.293333333299</v>
      </c>
      <c r="L55" s="860">
        <f t="shared" si="22"/>
        <v>6708.0666666665802</v>
      </c>
      <c r="M55" s="860"/>
      <c r="N55" s="860"/>
      <c r="O55" s="860">
        <f t="shared" si="23"/>
        <v>0</v>
      </c>
      <c r="P55" s="860">
        <f t="shared" si="24"/>
        <v>333135.51999999903</v>
      </c>
      <c r="Q55" s="860"/>
    </row>
    <row r="56" spans="1:17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9"/>
        <v>347016.16666666599</v>
      </c>
      <c r="I56" s="186">
        <f t="shared" si="20"/>
        <v>76534.499999998996</v>
      </c>
      <c r="J56" s="860">
        <v>21053.226666666698</v>
      </c>
      <c r="K56" s="860">
        <f t="shared" si="21"/>
        <v>27761.293333333299</v>
      </c>
      <c r="L56" s="860">
        <f t="shared" si="22"/>
        <v>6708.0666666665802</v>
      </c>
      <c r="M56" s="860"/>
      <c r="N56" s="860"/>
      <c r="O56" s="860">
        <f t="shared" si="23"/>
        <v>0</v>
      </c>
      <c r="P56" s="860">
        <f t="shared" si="24"/>
        <v>333135.51999999903</v>
      </c>
      <c r="Q56" s="860"/>
    </row>
    <row r="57" spans="1:17" ht="25.5" customHeight="1">
      <c r="A57" s="8"/>
      <c r="B57" s="18" t="s">
        <v>120</v>
      </c>
      <c r="C57" s="19">
        <v>8</v>
      </c>
      <c r="D57" s="19"/>
      <c r="E57" s="78">
        <f t="shared" ref="E57:Q57" si="25">SUM(E49:E56)</f>
        <v>4037104.0833333302</v>
      </c>
      <c r="F57" s="856">
        <f t="shared" si="25"/>
        <v>3043187.75</v>
      </c>
      <c r="G57" s="78">
        <f t="shared" si="25"/>
        <v>1858550.58333333</v>
      </c>
      <c r="H57" s="78">
        <f t="shared" si="25"/>
        <v>4901738.3333333302</v>
      </c>
      <c r="I57" s="78">
        <f t="shared" si="25"/>
        <v>864634.24999999895</v>
      </c>
      <c r="J57" s="78">
        <f t="shared" si="25"/>
        <v>317766.97666666697</v>
      </c>
      <c r="K57" s="78">
        <f t="shared" si="25"/>
        <v>392139.066666667</v>
      </c>
      <c r="L57" s="78">
        <f t="shared" si="25"/>
        <v>74372.089999999705</v>
      </c>
      <c r="M57" s="78">
        <f t="shared" si="25"/>
        <v>8380.2270833333296</v>
      </c>
      <c r="N57" s="78">
        <f t="shared" si="25"/>
        <v>11475.262500000001</v>
      </c>
      <c r="O57" s="78">
        <f t="shared" si="25"/>
        <v>3095.0354166666698</v>
      </c>
      <c r="P57" s="78">
        <f t="shared" si="25"/>
        <v>4705668.8</v>
      </c>
      <c r="Q57" s="78">
        <f t="shared" si="25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157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6">F60+G60</f>
        <v>1747106.41666666</v>
      </c>
      <c r="I60" s="186">
        <f t="shared" ref="I60:I71" si="27">H60-E60</f>
        <v>311386.41666666302</v>
      </c>
      <c r="J60" s="860">
        <v>114857.60000000001</v>
      </c>
      <c r="K60" s="860">
        <f t="shared" ref="K60:K71" si="28">H60*0.08</f>
        <v>139768.51333333299</v>
      </c>
      <c r="L60" s="860">
        <f t="shared" ref="L60:L71" si="29">K60-J60</f>
        <v>24910.913333332999</v>
      </c>
      <c r="M60" s="860"/>
      <c r="N60" s="860"/>
      <c r="O60" s="860">
        <f t="shared" ref="O60:O71" si="30">N60-M60</f>
        <v>0</v>
      </c>
      <c r="P60" s="860">
        <f t="shared" ref="P60:P71" si="31">K60*12</f>
        <v>1677222.16</v>
      </c>
      <c r="Q60" s="860"/>
    </row>
    <row r="61" spans="1:17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186">
        <v>285466.5</v>
      </c>
      <c r="H61" s="855">
        <f t="shared" si="26"/>
        <v>744477</v>
      </c>
      <c r="I61" s="186">
        <f t="shared" si="27"/>
        <v>123801.41666666701</v>
      </c>
      <c r="J61" s="860">
        <v>49654.046666666698</v>
      </c>
      <c r="K61" s="860">
        <f t="shared" si="28"/>
        <v>59558.16</v>
      </c>
      <c r="L61" s="860">
        <f t="shared" si="29"/>
        <v>9904.1133333333091</v>
      </c>
      <c r="M61" s="860"/>
      <c r="N61" s="860"/>
      <c r="O61" s="860">
        <f t="shared" si="30"/>
        <v>0</v>
      </c>
      <c r="P61" s="860">
        <f t="shared" si="31"/>
        <v>714697.92</v>
      </c>
      <c r="Q61" s="860"/>
    </row>
    <row r="62" spans="1:17" ht="20.100000000000001" customHeight="1">
      <c r="A62" s="8"/>
      <c r="B62" s="18" t="s">
        <v>120</v>
      </c>
      <c r="C62" s="19">
        <v>2</v>
      </c>
      <c r="D62" s="19"/>
      <c r="E62" s="78">
        <f t="shared" ref="E62:Q62" si="32">SUM(E60:E61)</f>
        <v>2056395.58333333</v>
      </c>
      <c r="F62" s="856">
        <f t="shared" si="32"/>
        <v>1545787.58333333</v>
      </c>
      <c r="G62" s="78">
        <f t="shared" si="32"/>
        <v>945795.83333333302</v>
      </c>
      <c r="H62" s="78">
        <f t="shared" si="32"/>
        <v>2491583.41666666</v>
      </c>
      <c r="I62" s="78">
        <f t="shared" si="32"/>
        <v>435187.83333333</v>
      </c>
      <c r="J62" s="78">
        <f t="shared" si="32"/>
        <v>164511.64666666699</v>
      </c>
      <c r="K62" s="78">
        <f t="shared" si="32"/>
        <v>199326.67333333299</v>
      </c>
      <c r="L62" s="78">
        <f t="shared" si="32"/>
        <v>34815.026666666301</v>
      </c>
      <c r="M62" s="78">
        <f t="shared" si="32"/>
        <v>0</v>
      </c>
      <c r="N62" s="78">
        <f t="shared" si="32"/>
        <v>0</v>
      </c>
      <c r="O62" s="78">
        <f t="shared" si="32"/>
        <v>0</v>
      </c>
      <c r="P62" s="78">
        <f t="shared" si="32"/>
        <v>2391920.08</v>
      </c>
      <c r="Q62" s="78">
        <f t="shared" si="32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163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70">
        <v>350637.25</v>
      </c>
      <c r="H65" s="186">
        <f t="shared" si="26"/>
        <v>905306.75</v>
      </c>
      <c r="I65" s="186">
        <f t="shared" si="27"/>
        <v>142933.58333333299</v>
      </c>
      <c r="J65" s="860">
        <v>60989.853333333303</v>
      </c>
      <c r="K65" s="860">
        <f t="shared" si="28"/>
        <v>72424.539999999994</v>
      </c>
      <c r="L65" s="860">
        <f t="shared" si="29"/>
        <v>11434.686666666699</v>
      </c>
      <c r="M65" s="860">
        <v>10293.3979166667</v>
      </c>
      <c r="N65" s="860">
        <f>0.025*F65</f>
        <v>13866.737499999999</v>
      </c>
      <c r="O65" s="860">
        <f t="shared" si="30"/>
        <v>3573.3395833333002</v>
      </c>
      <c r="P65" s="860">
        <f t="shared" si="31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186">
        <v>210449.33333333299</v>
      </c>
      <c r="H66" s="186">
        <f t="shared" si="26"/>
        <v>558165.25</v>
      </c>
      <c r="I66" s="186">
        <f t="shared" si="27"/>
        <v>101543</v>
      </c>
      <c r="J66" s="860">
        <v>35419.72</v>
      </c>
      <c r="K66" s="860">
        <f t="shared" si="28"/>
        <v>44653.22</v>
      </c>
      <c r="L66" s="860">
        <f t="shared" si="29"/>
        <v>9233.5</v>
      </c>
      <c r="M66" s="860"/>
      <c r="N66" s="860"/>
      <c r="O66" s="860">
        <f t="shared" si="30"/>
        <v>0</v>
      </c>
      <c r="P66" s="860">
        <f t="shared" si="31"/>
        <v>535838.64</v>
      </c>
      <c r="Q66" s="860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186">
        <v>174165.25</v>
      </c>
      <c r="H67" s="186">
        <f t="shared" si="26"/>
        <v>468828.16666666698</v>
      </c>
      <c r="I67" s="186">
        <f t="shared" si="27"/>
        <v>90933</v>
      </c>
      <c r="J67" s="860">
        <v>29256.3066666667</v>
      </c>
      <c r="K67" s="860">
        <f t="shared" si="28"/>
        <v>37506.253333333399</v>
      </c>
      <c r="L67" s="860">
        <f t="shared" si="29"/>
        <v>8249.9466666666594</v>
      </c>
      <c r="M67" s="860"/>
      <c r="N67" s="860"/>
      <c r="O67" s="860">
        <f t="shared" si="30"/>
        <v>0</v>
      </c>
      <c r="P67" s="860">
        <f t="shared" si="31"/>
        <v>450075.04</v>
      </c>
      <c r="Q67" s="860"/>
    </row>
    <row r="68" spans="1:17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186">
        <v>174165.25</v>
      </c>
      <c r="H68" s="186">
        <f t="shared" si="26"/>
        <v>468828.16666666698</v>
      </c>
      <c r="I68" s="186">
        <f t="shared" si="27"/>
        <v>90933</v>
      </c>
      <c r="J68" s="860">
        <v>29256.3066666667</v>
      </c>
      <c r="K68" s="860">
        <f t="shared" si="28"/>
        <v>37506.253333333399</v>
      </c>
      <c r="L68" s="860">
        <f t="shared" si="29"/>
        <v>8249.9466666666594</v>
      </c>
      <c r="M68" s="860"/>
      <c r="N68" s="860"/>
      <c r="O68" s="860">
        <f t="shared" si="30"/>
        <v>0</v>
      </c>
      <c r="P68" s="860">
        <f t="shared" si="31"/>
        <v>450075.04</v>
      </c>
      <c r="Q68" s="860"/>
    </row>
    <row r="69" spans="1:17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186">
        <v>174165.25</v>
      </c>
      <c r="H69" s="186">
        <f t="shared" si="26"/>
        <v>468828.16666666698</v>
      </c>
      <c r="I69" s="186">
        <f t="shared" si="27"/>
        <v>90933</v>
      </c>
      <c r="J69" s="860">
        <v>29256.3066666667</v>
      </c>
      <c r="K69" s="860">
        <f t="shared" si="28"/>
        <v>37506.253333333399</v>
      </c>
      <c r="L69" s="860">
        <f t="shared" si="29"/>
        <v>8249.9466666666594</v>
      </c>
      <c r="M69" s="860"/>
      <c r="N69" s="860"/>
      <c r="O69" s="860">
        <f t="shared" si="30"/>
        <v>0</v>
      </c>
      <c r="P69" s="860">
        <f t="shared" si="31"/>
        <v>450075.04</v>
      </c>
      <c r="Q69" s="860"/>
    </row>
    <row r="70" spans="1:17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186">
        <v>179784</v>
      </c>
      <c r="H70" s="186">
        <f t="shared" si="26"/>
        <v>482662.66666666698</v>
      </c>
      <c r="I70" s="186">
        <f t="shared" si="27"/>
        <v>92576.166666667006</v>
      </c>
      <c r="J70" s="860">
        <v>30231.613333333298</v>
      </c>
      <c r="K70" s="860">
        <f t="shared" si="28"/>
        <v>38613.013333333402</v>
      </c>
      <c r="L70" s="860">
        <f t="shared" si="29"/>
        <v>8381.4000000000597</v>
      </c>
      <c r="M70" s="860"/>
      <c r="N70" s="860"/>
      <c r="O70" s="860">
        <f t="shared" si="30"/>
        <v>0</v>
      </c>
      <c r="P70" s="860">
        <f t="shared" si="31"/>
        <v>463356.15999999997</v>
      </c>
      <c r="Q70" s="860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186">
        <v>143964.66666666701</v>
      </c>
      <c r="H71" s="186">
        <f t="shared" si="26"/>
        <v>390135.83333333401</v>
      </c>
      <c r="I71" s="186">
        <f t="shared" si="27"/>
        <v>81234.333333333998</v>
      </c>
      <c r="J71" s="860">
        <v>24077.246666666699</v>
      </c>
      <c r="K71" s="860">
        <f t="shared" si="28"/>
        <v>31210.866666666701</v>
      </c>
      <c r="L71" s="860">
        <f t="shared" si="29"/>
        <v>7133.6200000000199</v>
      </c>
      <c r="M71" s="860"/>
      <c r="N71" s="860">
        <f>0.025*F71</f>
        <v>6154.2791666666799</v>
      </c>
      <c r="O71" s="860">
        <f t="shared" si="30"/>
        <v>6154.2791666666799</v>
      </c>
      <c r="P71" s="860">
        <f t="shared" si="31"/>
        <v>374530.40000000101</v>
      </c>
      <c r="Q71" s="860"/>
    </row>
    <row r="72" spans="1:17" ht="27" customHeight="1">
      <c r="A72" s="8"/>
      <c r="B72" s="18" t="s">
        <v>120</v>
      </c>
      <c r="C72" s="19">
        <v>7</v>
      </c>
      <c r="D72" s="19"/>
      <c r="E72" s="78">
        <f t="shared" ref="E72:Q72" si="33">SUM(E65:E71)</f>
        <v>3051668.9166666698</v>
      </c>
      <c r="F72" s="856">
        <f t="shared" si="33"/>
        <v>2335424</v>
      </c>
      <c r="G72" s="78">
        <f t="shared" si="33"/>
        <v>1407331</v>
      </c>
      <c r="H72" s="78">
        <f t="shared" si="33"/>
        <v>3742755</v>
      </c>
      <c r="I72" s="78">
        <f t="shared" si="33"/>
        <v>691086.08333333395</v>
      </c>
      <c r="J72" s="78">
        <f t="shared" si="33"/>
        <v>238487.35333333301</v>
      </c>
      <c r="K72" s="78">
        <f t="shared" si="33"/>
        <v>299420.40000000002</v>
      </c>
      <c r="L72" s="78">
        <f t="shared" si="33"/>
        <v>60933.0466666668</v>
      </c>
      <c r="M72" s="78">
        <f t="shared" si="33"/>
        <v>10293.3979166667</v>
      </c>
      <c r="N72" s="78">
        <f t="shared" si="33"/>
        <v>20021.016666666699</v>
      </c>
      <c r="O72" s="78">
        <f t="shared" si="33"/>
        <v>9727.6187499999796</v>
      </c>
      <c r="P72" s="78">
        <f t="shared" si="33"/>
        <v>3593044.8</v>
      </c>
      <c r="Q72" s="78">
        <f t="shared" si="33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182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4">F75+G75</f>
        <v>1747106.41666666</v>
      </c>
      <c r="I75" s="186">
        <f t="shared" ref="I75:I80" si="35">H75-E75</f>
        <v>311386.41666666302</v>
      </c>
      <c r="J75" s="860">
        <v>114857.60000000001</v>
      </c>
      <c r="K75" s="860">
        <f t="shared" ref="K75:K80" si="36">H75*0.08</f>
        <v>139768.51333333299</v>
      </c>
      <c r="L75" s="860">
        <f t="shared" ref="L75:L80" si="37">K75-J75</f>
        <v>24910.913333332999</v>
      </c>
      <c r="M75" s="860"/>
      <c r="N75" s="860"/>
      <c r="O75" s="860">
        <f t="shared" ref="O75:O80" si="38">N75-M75</f>
        <v>0</v>
      </c>
      <c r="P75" s="860">
        <f t="shared" ref="P75:P80" si="39">K75*12</f>
        <v>1677222.16</v>
      </c>
      <c r="Q75" s="860"/>
    </row>
    <row r="76" spans="1:17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4"/>
        <v>722595.5</v>
      </c>
      <c r="I76" s="186">
        <f t="shared" si="35"/>
        <v>140477.41666666701</v>
      </c>
      <c r="J76" s="860">
        <v>46569.446666666699</v>
      </c>
      <c r="K76" s="860">
        <f t="shared" si="36"/>
        <v>57807.64</v>
      </c>
      <c r="L76" s="860">
        <f t="shared" si="37"/>
        <v>11238.1933333333</v>
      </c>
      <c r="M76" s="860"/>
      <c r="N76" s="860"/>
      <c r="O76" s="860">
        <f t="shared" si="38"/>
        <v>0</v>
      </c>
      <c r="P76" s="860">
        <f t="shared" si="39"/>
        <v>693691.68</v>
      </c>
      <c r="Q76" s="860"/>
    </row>
    <row r="77" spans="1:17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186">
        <v>216844.41666666701</v>
      </c>
      <c r="H77" s="855">
        <f t="shared" si="34"/>
        <v>573911.08333333395</v>
      </c>
      <c r="I77" s="186">
        <f t="shared" si="35"/>
        <v>103413.083333334</v>
      </c>
      <c r="J77" s="860">
        <v>36529.78</v>
      </c>
      <c r="K77" s="860">
        <f t="shared" si="36"/>
        <v>45912.886666666702</v>
      </c>
      <c r="L77" s="860">
        <f t="shared" si="37"/>
        <v>9383.1066666667193</v>
      </c>
      <c r="M77" s="860">
        <v>6154.3229166666697</v>
      </c>
      <c r="N77" s="860">
        <f>0.025*F77</f>
        <v>8926.6666666666806</v>
      </c>
      <c r="O77" s="860">
        <f t="shared" si="38"/>
        <v>2772.34375000001</v>
      </c>
      <c r="P77" s="860">
        <f t="shared" si="39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186">
        <v>168546.5</v>
      </c>
      <c r="H78" s="855">
        <f t="shared" si="34"/>
        <v>454993.58333333302</v>
      </c>
      <c r="I78" s="186">
        <f t="shared" si="35"/>
        <v>89289.75</v>
      </c>
      <c r="J78" s="860">
        <v>28281</v>
      </c>
      <c r="K78" s="860">
        <f t="shared" si="36"/>
        <v>36399.486666666598</v>
      </c>
      <c r="L78" s="860">
        <f t="shared" si="37"/>
        <v>8118.4866666666403</v>
      </c>
      <c r="M78" s="860"/>
      <c r="N78" s="860"/>
      <c r="O78" s="860">
        <f t="shared" si="38"/>
        <v>0</v>
      </c>
      <c r="P78" s="860">
        <f t="shared" si="39"/>
        <v>436793.84</v>
      </c>
      <c r="Q78" s="860"/>
    </row>
    <row r="79" spans="1:17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4"/>
        <v>347016.16666666599</v>
      </c>
      <c r="I79" s="186">
        <f t="shared" si="35"/>
        <v>83850.833333332994</v>
      </c>
      <c r="J79" s="860">
        <v>21053.226666666698</v>
      </c>
      <c r="K79" s="860">
        <f t="shared" si="36"/>
        <v>27761.293333333299</v>
      </c>
      <c r="L79" s="860">
        <f t="shared" si="37"/>
        <v>6708.0666666665802</v>
      </c>
      <c r="M79" s="860"/>
      <c r="N79" s="860">
        <f>0.025*F79</f>
        <v>5566.8645833333203</v>
      </c>
      <c r="O79" s="860">
        <f t="shared" si="38"/>
        <v>5566.8645833333203</v>
      </c>
      <c r="P79" s="860">
        <f t="shared" si="39"/>
        <v>333135.51999999903</v>
      </c>
      <c r="Q79" s="860"/>
    </row>
    <row r="80" spans="1:17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4"/>
        <v>301910.75</v>
      </c>
      <c r="I80" s="186">
        <f t="shared" si="35"/>
        <v>71278.833333332994</v>
      </c>
      <c r="J80" s="860">
        <v>17956.78</v>
      </c>
      <c r="K80" s="860">
        <f t="shared" si="36"/>
        <v>24152.86</v>
      </c>
      <c r="L80" s="860">
        <f t="shared" si="37"/>
        <v>6196.08</v>
      </c>
      <c r="M80" s="860"/>
      <c r="N80" s="860"/>
      <c r="O80" s="860">
        <f t="shared" si="38"/>
        <v>0</v>
      </c>
      <c r="P80" s="860">
        <f t="shared" si="39"/>
        <v>289834.32</v>
      </c>
      <c r="Q80" s="860"/>
    </row>
    <row r="81" spans="1:17" ht="20.100000000000001" customHeight="1">
      <c r="A81" s="8"/>
      <c r="B81" s="18" t="s">
        <v>120</v>
      </c>
      <c r="C81" s="19">
        <v>6</v>
      </c>
      <c r="D81" s="19"/>
      <c r="E81" s="78">
        <f t="shared" ref="E81:Q81" si="40">SUM(E75:E80)</f>
        <v>3347837.1666666698</v>
      </c>
      <c r="F81" s="856">
        <f t="shared" si="40"/>
        <v>2595325.66666666</v>
      </c>
      <c r="G81" s="78">
        <f t="shared" si="40"/>
        <v>1552207.83333333</v>
      </c>
      <c r="H81" s="78">
        <f t="shared" si="40"/>
        <v>4147533.5</v>
      </c>
      <c r="I81" s="78">
        <f t="shared" si="40"/>
        <v>799696.33333333</v>
      </c>
      <c r="J81" s="78">
        <f t="shared" si="40"/>
        <v>265247.83333333302</v>
      </c>
      <c r="K81" s="78">
        <f t="shared" si="40"/>
        <v>331802.68</v>
      </c>
      <c r="L81" s="78">
        <f t="shared" si="40"/>
        <v>66554.846666666301</v>
      </c>
      <c r="M81" s="78">
        <f t="shared" si="40"/>
        <v>6154.3229166666697</v>
      </c>
      <c r="N81" s="78">
        <f t="shared" si="40"/>
        <v>14493.53125</v>
      </c>
      <c r="O81" s="78">
        <f t="shared" si="40"/>
        <v>8339.2083333333303</v>
      </c>
      <c r="P81" s="78">
        <f t="shared" si="40"/>
        <v>3981632.16</v>
      </c>
      <c r="Q81" s="78">
        <f t="shared" si="40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204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41">F84+G84</f>
        <v>1647612</v>
      </c>
      <c r="I84" s="186">
        <f t="shared" ref="I84:I93" si="42">H84-E84</f>
        <v>295569.33333333</v>
      </c>
      <c r="J84" s="860">
        <v>114857.60000000001</v>
      </c>
      <c r="K84" s="860">
        <f t="shared" ref="K84:K93" si="43">H84*0.08</f>
        <v>131808.95999999999</v>
      </c>
      <c r="L84" s="860">
        <f t="shared" ref="L84:L93" si="44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5">N84-M84</f>
        <v>7389.2333333332499</v>
      </c>
      <c r="P84" s="860">
        <f t="shared" ref="P84:P93" si="46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70">
        <v>329324.58333333302</v>
      </c>
      <c r="H85" s="186">
        <f t="shared" si="41"/>
        <v>852711.08333333302</v>
      </c>
      <c r="I85" s="186">
        <f t="shared" si="42"/>
        <v>136677.08333333299</v>
      </c>
      <c r="J85" s="860">
        <v>59136.286666666703</v>
      </c>
      <c r="K85" s="860">
        <f t="shared" si="43"/>
        <v>68216.8866666666</v>
      </c>
      <c r="L85" s="860">
        <f t="shared" si="44"/>
        <v>9080.5999999999403</v>
      </c>
      <c r="M85" s="860"/>
      <c r="N85" s="860"/>
      <c r="O85" s="860">
        <f t="shared" si="45"/>
        <v>0</v>
      </c>
      <c r="P85" s="860">
        <f t="shared" si="46"/>
        <v>818602.64</v>
      </c>
      <c r="Q85" s="860"/>
    </row>
    <row r="86" spans="1:17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41"/>
        <v>722595.5</v>
      </c>
      <c r="I86" s="186">
        <f t="shared" si="42"/>
        <v>121198.66666666701</v>
      </c>
      <c r="J86" s="860">
        <v>46569.446666666699</v>
      </c>
      <c r="K86" s="860">
        <f t="shared" si="43"/>
        <v>57807.64</v>
      </c>
      <c r="L86" s="860">
        <f t="shared" si="44"/>
        <v>11238.1933333333</v>
      </c>
      <c r="M86" s="860"/>
      <c r="N86" s="860"/>
      <c r="O86" s="860">
        <f t="shared" si="45"/>
        <v>0</v>
      </c>
      <c r="P86" s="860">
        <f t="shared" si="46"/>
        <v>693691.68</v>
      </c>
      <c r="Q86" s="860"/>
    </row>
    <row r="87" spans="1:17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347715.91666666698</v>
      </c>
      <c r="G87" s="186">
        <v>210449.33333333299</v>
      </c>
      <c r="H87" s="186">
        <f t="shared" si="41"/>
        <v>558165.25</v>
      </c>
      <c r="I87" s="186">
        <f t="shared" si="42"/>
        <v>101543</v>
      </c>
      <c r="J87" s="860">
        <v>35344.393333333297</v>
      </c>
      <c r="K87" s="860">
        <f t="shared" si="43"/>
        <v>44653.22</v>
      </c>
      <c r="L87" s="860">
        <f t="shared" si="44"/>
        <v>9308.8266666667005</v>
      </c>
      <c r="M87" s="860"/>
      <c r="N87" s="860"/>
      <c r="O87" s="860">
        <f t="shared" si="45"/>
        <v>0</v>
      </c>
      <c r="P87" s="860">
        <f t="shared" si="46"/>
        <v>535838.64</v>
      </c>
      <c r="Q87" s="860"/>
    </row>
    <row r="88" spans="1:17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347716.91666666698</v>
      </c>
      <c r="G88" s="186">
        <v>210449.33333333299</v>
      </c>
      <c r="H88" s="186">
        <f t="shared" si="41"/>
        <v>558166.25</v>
      </c>
      <c r="I88" s="186">
        <f t="shared" si="42"/>
        <v>101544</v>
      </c>
      <c r="J88" s="860">
        <v>35419.72</v>
      </c>
      <c r="K88" s="860">
        <f t="shared" si="43"/>
        <v>44653.3</v>
      </c>
      <c r="L88" s="860">
        <f t="shared" si="44"/>
        <v>9233.58</v>
      </c>
      <c r="M88" s="860"/>
      <c r="N88" s="860">
        <f t="shared" ref="N88:N93" si="47">0.025*F88</f>
        <v>8692.9229166666792</v>
      </c>
      <c r="O88" s="860">
        <f t="shared" si="45"/>
        <v>8692.9229166666792</v>
      </c>
      <c r="P88" s="860">
        <f t="shared" si="46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338365.25</v>
      </c>
      <c r="G89" s="186">
        <v>204054.25</v>
      </c>
      <c r="H89" s="186">
        <f t="shared" si="41"/>
        <v>542419.5</v>
      </c>
      <c r="I89" s="186">
        <f t="shared" si="42"/>
        <v>99673</v>
      </c>
      <c r="J89" s="860">
        <v>34309.660000000003</v>
      </c>
      <c r="K89" s="860">
        <f t="shared" si="43"/>
        <v>43393.56</v>
      </c>
      <c r="L89" s="860">
        <f t="shared" si="44"/>
        <v>9083.8999999999905</v>
      </c>
      <c r="M89" s="860"/>
      <c r="N89" s="860"/>
      <c r="O89" s="860">
        <f t="shared" si="45"/>
        <v>0</v>
      </c>
      <c r="P89" s="860">
        <f t="shared" si="46"/>
        <v>520722.72</v>
      </c>
      <c r="Q89" s="860"/>
    </row>
    <row r="90" spans="1:17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186">
        <v>174165.25</v>
      </c>
      <c r="H90" s="186">
        <f t="shared" si="41"/>
        <v>468828.16666666698</v>
      </c>
      <c r="I90" s="186">
        <f t="shared" si="42"/>
        <v>90933</v>
      </c>
      <c r="J90" s="860">
        <v>29256.3066666667</v>
      </c>
      <c r="K90" s="860">
        <f t="shared" si="43"/>
        <v>37506.253333333399</v>
      </c>
      <c r="L90" s="860">
        <f t="shared" si="44"/>
        <v>8249.9466666666594</v>
      </c>
      <c r="M90" s="860"/>
      <c r="N90" s="860"/>
      <c r="O90" s="860">
        <f t="shared" si="45"/>
        <v>0</v>
      </c>
      <c r="P90" s="860">
        <f t="shared" si="46"/>
        <v>450075.04</v>
      </c>
      <c r="Q90" s="860"/>
    </row>
    <row r="91" spans="1:17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186">
        <v>185799.5</v>
      </c>
      <c r="H91" s="186">
        <f t="shared" si="41"/>
        <v>497472.75</v>
      </c>
      <c r="I91" s="186">
        <f t="shared" si="42"/>
        <v>94334.833333332994</v>
      </c>
      <c r="J91" s="860">
        <v>31219.913333333301</v>
      </c>
      <c r="K91" s="860">
        <f t="shared" si="43"/>
        <v>39797.82</v>
      </c>
      <c r="L91" s="860">
        <f t="shared" si="44"/>
        <v>8577.9066666667004</v>
      </c>
      <c r="M91" s="860">
        <v>5259.7437499999996</v>
      </c>
      <c r="N91" s="860">
        <f t="shared" si="47"/>
        <v>7791.8312500000002</v>
      </c>
      <c r="O91" s="860">
        <f t="shared" si="45"/>
        <v>2532.0875000000001</v>
      </c>
      <c r="P91" s="860">
        <f t="shared" si="46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186">
        <v>143964.66666666701</v>
      </c>
      <c r="H92" s="186">
        <f t="shared" si="41"/>
        <v>390135.83333333401</v>
      </c>
      <c r="I92" s="186">
        <f t="shared" si="42"/>
        <v>81234.333333333998</v>
      </c>
      <c r="J92" s="860">
        <v>24077.246666666699</v>
      </c>
      <c r="K92" s="860">
        <f t="shared" si="43"/>
        <v>31210.866666666701</v>
      </c>
      <c r="L92" s="860">
        <f t="shared" si="44"/>
        <v>7133.6200000000199</v>
      </c>
      <c r="M92" s="860"/>
      <c r="N92" s="860"/>
      <c r="O92" s="860">
        <f t="shared" si="45"/>
        <v>0</v>
      </c>
      <c r="P92" s="860">
        <f t="shared" si="46"/>
        <v>374530.40000000101</v>
      </c>
      <c r="Q92" s="860"/>
    </row>
    <row r="93" spans="1:17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186">
        <v>108371.25</v>
      </c>
      <c r="H93" s="186">
        <f t="shared" si="41"/>
        <v>308920.66666666698</v>
      </c>
      <c r="I93" s="186">
        <f t="shared" si="42"/>
        <v>72116.583333333998</v>
      </c>
      <c r="J93" s="860">
        <v>18450.553333333301</v>
      </c>
      <c r="K93" s="860">
        <f t="shared" si="43"/>
        <v>24713.653333333401</v>
      </c>
      <c r="L93" s="860">
        <f t="shared" si="44"/>
        <v>6263.1000000000604</v>
      </c>
      <c r="M93" s="860"/>
      <c r="N93" s="860">
        <f t="shared" si="47"/>
        <v>5013.7354166666801</v>
      </c>
      <c r="O93" s="860">
        <f t="shared" si="45"/>
        <v>5013.7354166666801</v>
      </c>
      <c r="P93" s="860">
        <f t="shared" si="46"/>
        <v>296563.84000000003</v>
      </c>
      <c r="Q93" s="860"/>
    </row>
    <row r="94" spans="1:17" ht="20.100000000000001" customHeight="1">
      <c r="A94" s="8"/>
      <c r="B94" s="18" t="s">
        <v>120</v>
      </c>
      <c r="C94" s="19">
        <v>10</v>
      </c>
      <c r="D94" s="19"/>
      <c r="E94" s="78">
        <f t="shared" ref="E94:Q94" si="48">SUM(E84:E93)</f>
        <v>5352203.1666666698</v>
      </c>
      <c r="F94" s="856">
        <f t="shared" si="48"/>
        <v>4082005.5</v>
      </c>
      <c r="G94" s="78">
        <f t="shared" si="48"/>
        <v>2465021.5</v>
      </c>
      <c r="H94" s="78">
        <f t="shared" si="48"/>
        <v>6547027</v>
      </c>
      <c r="I94" s="78">
        <f t="shared" si="48"/>
        <v>1194823.83333333</v>
      </c>
      <c r="J94" s="78">
        <f t="shared" si="48"/>
        <v>428641.126666667</v>
      </c>
      <c r="K94" s="78">
        <f t="shared" si="48"/>
        <v>523762.16</v>
      </c>
      <c r="L94" s="78">
        <f t="shared" si="48"/>
        <v>95121.033333333195</v>
      </c>
      <c r="M94" s="78">
        <f t="shared" si="48"/>
        <v>23514.71875</v>
      </c>
      <c r="N94" s="78">
        <f t="shared" si="48"/>
        <v>47142.697916666599</v>
      </c>
      <c r="O94" s="78">
        <f t="shared" si="48"/>
        <v>23627.979166666599</v>
      </c>
      <c r="P94" s="78">
        <f t="shared" si="48"/>
        <v>6285145.9199999999</v>
      </c>
      <c r="Q94" s="78">
        <f t="shared" si="48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226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9">F97+G97</f>
        <v>1697359.33333333</v>
      </c>
      <c r="I97" s="186">
        <f t="shared" ref="I97:I101" si="50">H97-E97</f>
        <v>303478</v>
      </c>
      <c r="J97" s="860">
        <v>114857.60000000001</v>
      </c>
      <c r="K97" s="860">
        <f t="shared" ref="K97:K101" si="51">H97*0.08</f>
        <v>135788.746666666</v>
      </c>
      <c r="L97" s="860">
        <f t="shared" ref="L97:L101" si="52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3">N97-M97</f>
        <v>8151.8458333332501</v>
      </c>
      <c r="P97" s="860">
        <f t="shared" ref="P97:P101" si="54">12*K97</f>
        <v>1629464.96</v>
      </c>
      <c r="Q97" s="860">
        <f t="shared" ref="Q97:Q101" si="55">N97*12</f>
        <v>316881.84999999899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186">
        <v>216844.41666666701</v>
      </c>
      <c r="H98" s="855">
        <f t="shared" si="49"/>
        <v>573911.08333333395</v>
      </c>
      <c r="I98" s="186">
        <f t="shared" si="50"/>
        <v>103413.083333334</v>
      </c>
      <c r="J98" s="860">
        <v>36529.78</v>
      </c>
      <c r="K98" s="860">
        <f t="shared" si="51"/>
        <v>45912.886666666702</v>
      </c>
      <c r="L98" s="860">
        <f t="shared" si="52"/>
        <v>9383.1066666667193</v>
      </c>
      <c r="M98" s="860"/>
      <c r="N98" s="860"/>
      <c r="O98" s="860">
        <f t="shared" si="53"/>
        <v>0</v>
      </c>
      <c r="P98" s="860">
        <f t="shared" si="54"/>
        <v>550954.64000000095</v>
      </c>
      <c r="Q98" s="860">
        <f t="shared" si="55"/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186">
        <v>185799.5</v>
      </c>
      <c r="H99" s="855">
        <f t="shared" si="49"/>
        <v>497472.75</v>
      </c>
      <c r="I99" s="186">
        <f t="shared" si="50"/>
        <v>94334.833333332994</v>
      </c>
      <c r="J99" s="860">
        <v>31219.91</v>
      </c>
      <c r="K99" s="860">
        <f t="shared" si="51"/>
        <v>39797.82</v>
      </c>
      <c r="L99" s="860">
        <f t="shared" si="52"/>
        <v>8577.91</v>
      </c>
      <c r="M99" s="860">
        <v>5967.3062499999996</v>
      </c>
      <c r="N99" s="860">
        <f>0.025*F99</f>
        <v>7791.8312500000002</v>
      </c>
      <c r="O99" s="860">
        <f t="shared" si="53"/>
        <v>1824.5250000000001</v>
      </c>
      <c r="P99" s="860">
        <f t="shared" si="54"/>
        <v>477573.84</v>
      </c>
      <c r="Q99" s="860">
        <f t="shared" si="55"/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186">
        <v>179784</v>
      </c>
      <c r="H100" s="855">
        <f t="shared" si="49"/>
        <v>482662.66666666698</v>
      </c>
      <c r="I100" s="186">
        <f t="shared" si="50"/>
        <v>92576.166666667006</v>
      </c>
      <c r="J100" s="860">
        <v>30231.613333333298</v>
      </c>
      <c r="K100" s="860">
        <f t="shared" si="51"/>
        <v>38613.013333333402</v>
      </c>
      <c r="L100" s="860">
        <f t="shared" si="52"/>
        <v>8381.4000000000597</v>
      </c>
      <c r="M100" s="860"/>
      <c r="N100" s="860"/>
      <c r="O100" s="860">
        <f t="shared" si="53"/>
        <v>0</v>
      </c>
      <c r="P100" s="860">
        <f t="shared" si="54"/>
        <v>463356.15999999997</v>
      </c>
      <c r="Q100" s="860">
        <f t="shared" si="55"/>
        <v>0</v>
      </c>
    </row>
    <row r="101" spans="1:17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186">
        <v>143964.66666666701</v>
      </c>
      <c r="H101" s="855">
        <f t="shared" si="49"/>
        <v>390135.83333333401</v>
      </c>
      <c r="I101" s="186">
        <f t="shared" si="50"/>
        <v>81234.333333333998</v>
      </c>
      <c r="J101" s="860">
        <v>24077.246666666699</v>
      </c>
      <c r="K101" s="860">
        <f t="shared" si="51"/>
        <v>31210.866666666701</v>
      </c>
      <c r="L101" s="860">
        <f t="shared" si="52"/>
        <v>7133.6200000000199</v>
      </c>
      <c r="M101" s="860"/>
      <c r="N101" s="860"/>
      <c r="O101" s="860">
        <f t="shared" si="53"/>
        <v>0</v>
      </c>
      <c r="P101" s="860">
        <f t="shared" si="54"/>
        <v>374530.40000000101</v>
      </c>
      <c r="Q101" s="860">
        <f t="shared" si="55"/>
        <v>0</v>
      </c>
    </row>
    <row r="102" spans="1:17" ht="20.100000000000001" customHeight="1">
      <c r="A102" s="2"/>
      <c r="B102" s="18" t="s">
        <v>120</v>
      </c>
      <c r="C102" s="19">
        <v>5</v>
      </c>
      <c r="D102" s="24"/>
      <c r="E102" s="78">
        <f t="shared" ref="E102:Q102" si="56">SUM(E97:E101)</f>
        <v>2966505.25</v>
      </c>
      <c r="F102" s="856">
        <f t="shared" si="56"/>
        <v>2274062.5833333302</v>
      </c>
      <c r="G102" s="78">
        <f t="shared" si="56"/>
        <v>1367479.08333333</v>
      </c>
      <c r="H102" s="78">
        <f t="shared" si="56"/>
        <v>3641541.6666666698</v>
      </c>
      <c r="I102" s="78">
        <f t="shared" si="56"/>
        <v>675036.41666666802</v>
      </c>
      <c r="J102" s="78">
        <f t="shared" si="56"/>
        <v>236916.15</v>
      </c>
      <c r="K102" s="78">
        <f t="shared" si="56"/>
        <v>291323.33333333302</v>
      </c>
      <c r="L102" s="78">
        <f t="shared" si="56"/>
        <v>54407.183333333203</v>
      </c>
      <c r="M102" s="78">
        <f t="shared" si="56"/>
        <v>24222.28125</v>
      </c>
      <c r="N102" s="78">
        <f t="shared" si="56"/>
        <v>34198.652083333298</v>
      </c>
      <c r="O102" s="78">
        <f t="shared" si="56"/>
        <v>9976.3708333332506</v>
      </c>
      <c r="P102" s="78">
        <f t="shared" si="56"/>
        <v>3495880</v>
      </c>
      <c r="Q102" s="78">
        <f t="shared" si="56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239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7">F105+G105</f>
        <v>1747106.41666666</v>
      </c>
      <c r="I105" s="186">
        <f t="shared" ref="I105:I111" si="58">H105-E105</f>
        <v>311386.41666666302</v>
      </c>
      <c r="J105" s="860">
        <v>114857.60000000001</v>
      </c>
      <c r="K105" s="860">
        <f t="shared" ref="K105:K111" si="59">H105*0.08</f>
        <v>139768.51333333299</v>
      </c>
      <c r="L105" s="860">
        <f t="shared" ref="L105:L111" si="60">K105-J105</f>
        <v>24910.913333332999</v>
      </c>
      <c r="M105" s="860">
        <v>0</v>
      </c>
      <c r="N105" s="860"/>
      <c r="O105" s="860">
        <f t="shared" ref="O105:O111" si="61">N105-M105</f>
        <v>0</v>
      </c>
      <c r="P105" s="860">
        <f t="shared" ref="P105:P111" si="62">K105*12</f>
        <v>1677222.16</v>
      </c>
      <c r="Q105" s="860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186">
        <v>350637.25</v>
      </c>
      <c r="H106" s="855">
        <f t="shared" si="57"/>
        <v>905306.75</v>
      </c>
      <c r="I106" s="186">
        <f t="shared" si="58"/>
        <v>142933.58333333299</v>
      </c>
      <c r="J106" s="860">
        <v>60989.853333333303</v>
      </c>
      <c r="K106" s="860">
        <f t="shared" si="59"/>
        <v>72424.539999999994</v>
      </c>
      <c r="L106" s="860">
        <f t="shared" si="60"/>
        <v>11434.686666666699</v>
      </c>
      <c r="M106" s="860">
        <v>10293.3979166667</v>
      </c>
      <c r="N106" s="860">
        <f t="shared" ref="N106:N111" si="63">0.025*F106</f>
        <v>13866.737499999999</v>
      </c>
      <c r="O106" s="860">
        <f t="shared" si="61"/>
        <v>3573.3395833333002</v>
      </c>
      <c r="P106" s="860">
        <f t="shared" si="62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186">
        <v>203620.5</v>
      </c>
      <c r="H107" s="855">
        <f t="shared" si="57"/>
        <v>541351.33333333302</v>
      </c>
      <c r="I107" s="186">
        <f t="shared" si="58"/>
        <v>99546.416666666002</v>
      </c>
      <c r="J107" s="860">
        <v>35344.393333333297</v>
      </c>
      <c r="K107" s="860">
        <f t="shared" si="59"/>
        <v>43308.106666666601</v>
      </c>
      <c r="L107" s="860">
        <f t="shared" si="60"/>
        <v>7963.7133333333504</v>
      </c>
      <c r="M107" s="860">
        <v>5954.6104166666701</v>
      </c>
      <c r="N107" s="860">
        <f t="shared" si="63"/>
        <v>8443.2708333333303</v>
      </c>
      <c r="O107" s="860">
        <f t="shared" si="61"/>
        <v>2488.6604166666598</v>
      </c>
      <c r="P107" s="860">
        <f t="shared" si="62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246</v>
      </c>
      <c r="C108" s="2" t="s">
        <v>629</v>
      </c>
      <c r="D108" s="8" t="s">
        <v>574</v>
      </c>
      <c r="E108" s="70">
        <v>441804.91666666698</v>
      </c>
      <c r="F108" s="853">
        <v>338365.25</v>
      </c>
      <c r="G108" s="186">
        <v>204054.25</v>
      </c>
      <c r="H108" s="855">
        <f t="shared" si="57"/>
        <v>542419.5</v>
      </c>
      <c r="I108" s="186">
        <f t="shared" si="58"/>
        <v>100614.58333333299</v>
      </c>
      <c r="J108" s="860">
        <v>35344.393333333297</v>
      </c>
      <c r="K108" s="860">
        <f t="shared" si="59"/>
        <v>43393.56</v>
      </c>
      <c r="L108" s="860">
        <f t="shared" si="60"/>
        <v>8049.1666666666997</v>
      </c>
      <c r="M108" s="860"/>
      <c r="N108" s="860"/>
      <c r="O108" s="860">
        <f t="shared" si="61"/>
        <v>0</v>
      </c>
      <c r="P108" s="860">
        <f t="shared" si="62"/>
        <v>520722.72</v>
      </c>
      <c r="Q108" s="860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186">
        <v>116846</v>
      </c>
      <c r="H109" s="855">
        <f t="shared" si="57"/>
        <v>329950.41666666698</v>
      </c>
      <c r="I109" s="186">
        <f t="shared" si="58"/>
        <v>74629.833333333998</v>
      </c>
      <c r="J109" s="860">
        <v>19931.8733333333</v>
      </c>
      <c r="K109" s="860">
        <f t="shared" si="59"/>
        <v>26396.033333333398</v>
      </c>
      <c r="L109" s="860">
        <f t="shared" si="60"/>
        <v>6464.1600000000599</v>
      </c>
      <c r="M109" s="860"/>
      <c r="N109" s="860"/>
      <c r="O109" s="860">
        <f t="shared" si="61"/>
        <v>0</v>
      </c>
      <c r="P109" s="860">
        <f t="shared" si="62"/>
        <v>316752.40000000002</v>
      </c>
      <c r="Q109" s="860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186">
        <v>117614.91666666701</v>
      </c>
      <c r="H110" s="855">
        <f t="shared" si="57"/>
        <v>330407.08333333401</v>
      </c>
      <c r="I110" s="186">
        <f t="shared" si="58"/>
        <v>74558.083333333998</v>
      </c>
      <c r="J110" s="860">
        <v>21053.226666666698</v>
      </c>
      <c r="K110" s="860">
        <f t="shared" si="59"/>
        <v>26432.566666666698</v>
      </c>
      <c r="L110" s="860">
        <f t="shared" si="60"/>
        <v>5379.3400000000202</v>
      </c>
      <c r="M110" s="860"/>
      <c r="N110" s="860"/>
      <c r="O110" s="860">
        <f t="shared" si="61"/>
        <v>0</v>
      </c>
      <c r="P110" s="860">
        <f t="shared" si="62"/>
        <v>317190.80000000098</v>
      </c>
      <c r="Q110" s="860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186">
        <v>108371.25</v>
      </c>
      <c r="H111" s="855">
        <f t="shared" si="57"/>
        <v>308920.66666666698</v>
      </c>
      <c r="I111" s="186">
        <f t="shared" si="58"/>
        <v>72116.583333333998</v>
      </c>
      <c r="J111" s="860">
        <v>18450.553333333301</v>
      </c>
      <c r="K111" s="860">
        <f t="shared" si="59"/>
        <v>24713.653333333401</v>
      </c>
      <c r="L111" s="860">
        <f t="shared" si="60"/>
        <v>6263.1000000000604</v>
      </c>
      <c r="M111" s="860"/>
      <c r="N111" s="860">
        <f t="shared" si="63"/>
        <v>5013.7354166666801</v>
      </c>
      <c r="O111" s="860">
        <f t="shared" si="61"/>
        <v>5013.7354166666801</v>
      </c>
      <c r="P111" s="860">
        <f t="shared" si="62"/>
        <v>296563.84000000003</v>
      </c>
      <c r="Q111" s="860"/>
    </row>
    <row r="112" spans="1:17" ht="25.5" customHeight="1">
      <c r="A112" s="2"/>
      <c r="B112" s="18" t="s">
        <v>120</v>
      </c>
      <c r="C112" s="19">
        <v>7</v>
      </c>
      <c r="D112" s="2"/>
      <c r="E112" s="189">
        <f t="shared" ref="E112:Q112" si="64">SUM(E105:E111)</f>
        <v>3829676.6666666698</v>
      </c>
      <c r="F112" s="862">
        <f t="shared" si="64"/>
        <v>2943988.66666666</v>
      </c>
      <c r="G112" s="189">
        <f t="shared" si="64"/>
        <v>1761473.5</v>
      </c>
      <c r="H112" s="189">
        <f t="shared" si="64"/>
        <v>4705462.1666666605</v>
      </c>
      <c r="I112" s="189">
        <f t="shared" si="64"/>
        <v>875785.49999999697</v>
      </c>
      <c r="J112" s="189">
        <f t="shared" si="64"/>
        <v>305971.89333333302</v>
      </c>
      <c r="K112" s="189">
        <f t="shared" si="64"/>
        <v>376436.97333333298</v>
      </c>
      <c r="L112" s="189">
        <f t="shared" si="64"/>
        <v>70465.0799999999</v>
      </c>
      <c r="M112" s="189">
        <f t="shared" si="64"/>
        <v>16248.008333333401</v>
      </c>
      <c r="N112" s="189">
        <f t="shared" si="64"/>
        <v>27323.743750000001</v>
      </c>
      <c r="O112" s="189">
        <f t="shared" si="64"/>
        <v>11075.735416666599</v>
      </c>
      <c r="P112" s="189">
        <f t="shared" si="64"/>
        <v>4517243.68</v>
      </c>
      <c r="Q112" s="189">
        <f t="shared" si="64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186">
        <v>179784</v>
      </c>
      <c r="H115" s="855">
        <f t="shared" ref="H115:H117" si="65">F115+G115</f>
        <v>482662.66666666698</v>
      </c>
      <c r="I115" s="186">
        <f t="shared" ref="I115:I117" si="66">H115-E115</f>
        <v>92576.166666667006</v>
      </c>
      <c r="J115" s="860">
        <v>30231.613333333298</v>
      </c>
      <c r="K115" s="860">
        <f t="shared" ref="K115:K117" si="67">H115*0.08</f>
        <v>38613.013333333402</v>
      </c>
      <c r="L115" s="860">
        <f t="shared" ref="L115:L117" si="68">K115-J115</f>
        <v>8381.4000000000597</v>
      </c>
      <c r="M115" s="860"/>
      <c r="N115" s="860"/>
      <c r="O115" s="860">
        <f t="shared" ref="O115:O117" si="69">N115-M115</f>
        <v>0</v>
      </c>
      <c r="P115" s="860">
        <f t="shared" ref="P115:P117" si="70">12*K115</f>
        <v>463356.15999999997</v>
      </c>
      <c r="Q115" s="860"/>
    </row>
    <row r="116" spans="1:17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186">
        <v>174165.25</v>
      </c>
      <c r="H116" s="855">
        <f t="shared" si="65"/>
        <v>468828.16666666698</v>
      </c>
      <c r="I116" s="186">
        <f t="shared" si="66"/>
        <v>90933</v>
      </c>
      <c r="J116" s="860">
        <v>30231.613333333298</v>
      </c>
      <c r="K116" s="860">
        <f t="shared" si="67"/>
        <v>37506.253333333399</v>
      </c>
      <c r="L116" s="860">
        <f t="shared" si="68"/>
        <v>7274.6400000000604</v>
      </c>
      <c r="M116" s="860"/>
      <c r="N116" s="860"/>
      <c r="O116" s="860">
        <f t="shared" si="69"/>
        <v>0</v>
      </c>
      <c r="P116" s="860">
        <f t="shared" si="70"/>
        <v>450075.04</v>
      </c>
      <c r="Q116" s="860"/>
    </row>
    <row r="117" spans="1:17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5"/>
        <v>482846.58333333401</v>
      </c>
      <c r="I117" s="186">
        <f t="shared" si="66"/>
        <v>92597.666666667006</v>
      </c>
      <c r="J117" s="860">
        <v>31219.91</v>
      </c>
      <c r="K117" s="860">
        <f t="shared" si="67"/>
        <v>38627.726666666698</v>
      </c>
      <c r="L117" s="860">
        <f t="shared" si="68"/>
        <v>7407.8166666667203</v>
      </c>
      <c r="M117" s="860">
        <v>5967.3062499999996</v>
      </c>
      <c r="N117" s="860">
        <f>0.025*F117</f>
        <v>7574.6854166666699</v>
      </c>
      <c r="O117" s="860">
        <f t="shared" si="69"/>
        <v>1607.37916666667</v>
      </c>
      <c r="P117" s="860">
        <f t="shared" si="70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120</v>
      </c>
      <c r="C118" s="19">
        <v>3</v>
      </c>
      <c r="D118" s="24"/>
      <c r="E118" s="78">
        <f t="shared" ref="E118:Q118" si="71">SUM(E115:E117)</f>
        <v>1158230.58333333</v>
      </c>
      <c r="F118" s="856">
        <f t="shared" si="71"/>
        <v>900529.00000000105</v>
      </c>
      <c r="G118" s="78">
        <f t="shared" si="71"/>
        <v>533808.41666666698</v>
      </c>
      <c r="H118" s="78">
        <f t="shared" si="71"/>
        <v>1434337.41666667</v>
      </c>
      <c r="I118" s="78">
        <f t="shared" si="71"/>
        <v>276106.83333333401</v>
      </c>
      <c r="J118" s="78">
        <f t="shared" si="71"/>
        <v>91683.1366666666</v>
      </c>
      <c r="K118" s="78">
        <f t="shared" si="71"/>
        <v>114746.993333333</v>
      </c>
      <c r="L118" s="78">
        <f t="shared" si="71"/>
        <v>23063.856666666801</v>
      </c>
      <c r="M118" s="78">
        <f t="shared" si="71"/>
        <v>5967.3062499999996</v>
      </c>
      <c r="N118" s="78">
        <f t="shared" si="71"/>
        <v>7574.6854166666699</v>
      </c>
      <c r="O118" s="78">
        <f t="shared" si="71"/>
        <v>1607.37916666667</v>
      </c>
      <c r="P118" s="78">
        <f t="shared" si="71"/>
        <v>1376963.92</v>
      </c>
      <c r="Q118" s="78">
        <f t="shared" si="7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268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72">F121+G121</f>
        <v>287890.91666666698</v>
      </c>
      <c r="I121" s="186">
        <f t="shared" ref="I121:I135" si="73">H121-E121</f>
        <v>69603.333333333998</v>
      </c>
      <c r="J121" s="860">
        <v>17463.006666666599</v>
      </c>
      <c r="K121" s="860">
        <f t="shared" ref="K121:K135" si="74">H121*0.08</f>
        <v>23031.2733333334</v>
      </c>
      <c r="L121" s="860">
        <f t="shared" ref="L121:L135" si="75">K121-J121</f>
        <v>5568.2666666667601</v>
      </c>
      <c r="M121" s="860"/>
      <c r="N121" s="860"/>
      <c r="O121" s="860">
        <f t="shared" ref="O121:O135" si="76">N121-M121</f>
        <v>0</v>
      </c>
      <c r="P121" s="860">
        <f t="shared" ref="P121:P135" si="77">12*K121</f>
        <v>276375.28000000003</v>
      </c>
      <c r="Q121" s="860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186">
        <v>99896.5</v>
      </c>
      <c r="H122" s="855">
        <f t="shared" si="72"/>
        <v>287890.91666666698</v>
      </c>
      <c r="I122" s="186">
        <f t="shared" si="73"/>
        <v>69603.333333333998</v>
      </c>
      <c r="J122" s="860">
        <v>17463.006666666599</v>
      </c>
      <c r="K122" s="860">
        <f t="shared" si="74"/>
        <v>23031.2733333334</v>
      </c>
      <c r="L122" s="860">
        <f t="shared" si="75"/>
        <v>5568.2666666667601</v>
      </c>
      <c r="M122" s="860"/>
      <c r="N122" s="860"/>
      <c r="O122" s="860">
        <f t="shared" si="76"/>
        <v>0</v>
      </c>
      <c r="P122" s="860">
        <f t="shared" si="77"/>
        <v>276375.28000000003</v>
      </c>
      <c r="Q122" s="860"/>
    </row>
    <row r="123" spans="1:17" ht="20.100000000000001" customHeight="1">
      <c r="A123" s="2"/>
      <c r="B123" s="18" t="s">
        <v>120</v>
      </c>
      <c r="C123" s="19">
        <v>3</v>
      </c>
      <c r="D123" s="24"/>
      <c r="E123" s="78">
        <f t="shared" ref="E123:Q123" si="78">SUM(E121:E122)</f>
        <v>436575.16666666599</v>
      </c>
      <c r="F123" s="856">
        <f t="shared" si="78"/>
        <v>375988.83333333401</v>
      </c>
      <c r="G123" s="78">
        <f t="shared" si="78"/>
        <v>199793</v>
      </c>
      <c r="H123" s="78">
        <f t="shared" si="78"/>
        <v>575781.83333333395</v>
      </c>
      <c r="I123" s="78">
        <f t="shared" si="78"/>
        <v>139206.666666668</v>
      </c>
      <c r="J123" s="78">
        <f t="shared" si="78"/>
        <v>34926.013333333198</v>
      </c>
      <c r="K123" s="78">
        <f t="shared" si="78"/>
        <v>46062.546666666698</v>
      </c>
      <c r="L123" s="78">
        <f t="shared" si="78"/>
        <v>11136.5333333335</v>
      </c>
      <c r="M123" s="78">
        <f t="shared" si="78"/>
        <v>0</v>
      </c>
      <c r="N123" s="78">
        <f t="shared" si="78"/>
        <v>0</v>
      </c>
      <c r="O123" s="78">
        <f t="shared" si="78"/>
        <v>0</v>
      </c>
      <c r="P123" s="78">
        <f t="shared" si="78"/>
        <v>552750.56000000099</v>
      </c>
      <c r="Q123" s="78">
        <f t="shared" si="78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186">
        <v>660329.33333333302</v>
      </c>
      <c r="H126" s="855">
        <f t="shared" si="72"/>
        <v>1747106.41666666</v>
      </c>
      <c r="I126" s="186">
        <f t="shared" si="73"/>
        <v>311386.41666666302</v>
      </c>
      <c r="J126" s="860">
        <v>114857.60000000001</v>
      </c>
      <c r="K126" s="860">
        <f t="shared" si="74"/>
        <v>139768.51333333299</v>
      </c>
      <c r="L126" s="860">
        <f t="shared" si="75"/>
        <v>24910.913333332999</v>
      </c>
      <c r="M126" s="860">
        <v>19384.766666666699</v>
      </c>
      <c r="N126" s="860">
        <f t="shared" ref="N126:N128" si="79">0.025*F126</f>
        <v>27169.427083333299</v>
      </c>
      <c r="O126" s="860">
        <f t="shared" si="76"/>
        <v>7784.6604166665502</v>
      </c>
      <c r="P126" s="860">
        <f t="shared" si="77"/>
        <v>1677222.16</v>
      </c>
      <c r="Q126" s="860">
        <f t="shared" ref="Q126:Q135" si="80"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186">
        <v>350637.25</v>
      </c>
      <c r="H127" s="855">
        <f t="shared" si="72"/>
        <v>905306.75</v>
      </c>
      <c r="I127" s="186">
        <f t="shared" si="73"/>
        <v>142933.58333333299</v>
      </c>
      <c r="J127" s="860">
        <v>59136.286666666703</v>
      </c>
      <c r="K127" s="860">
        <f t="shared" si="74"/>
        <v>72424.539999999994</v>
      </c>
      <c r="L127" s="860">
        <f t="shared" si="75"/>
        <v>13288.253333333299</v>
      </c>
      <c r="M127" s="860">
        <v>9980.5666666666693</v>
      </c>
      <c r="N127" s="860">
        <f t="shared" si="79"/>
        <v>13866.737499999999</v>
      </c>
      <c r="O127" s="860">
        <f t="shared" si="76"/>
        <v>3886.1708333333299</v>
      </c>
      <c r="P127" s="860">
        <f t="shared" si="77"/>
        <v>869094.48</v>
      </c>
      <c r="Q127" s="860">
        <f t="shared" si="80"/>
        <v>166400.85</v>
      </c>
    </row>
    <row r="128" spans="1:17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186">
        <v>329324.58333333302</v>
      </c>
      <c r="H128" s="855">
        <f t="shared" si="72"/>
        <v>852711.08333333302</v>
      </c>
      <c r="I128" s="186">
        <f t="shared" si="73"/>
        <v>136677.08333333299</v>
      </c>
      <c r="J128" s="860">
        <v>59136.286666666703</v>
      </c>
      <c r="K128" s="860">
        <f t="shared" si="74"/>
        <v>68216.8866666666</v>
      </c>
      <c r="L128" s="860">
        <f t="shared" si="75"/>
        <v>9080.5999999999403</v>
      </c>
      <c r="M128" s="860">
        <v>9980.5666666666693</v>
      </c>
      <c r="N128" s="860">
        <f t="shared" si="79"/>
        <v>13084.6625</v>
      </c>
      <c r="O128" s="860">
        <f t="shared" si="76"/>
        <v>3104.0958333333301</v>
      </c>
      <c r="P128" s="860">
        <f t="shared" si="77"/>
        <v>818602.64</v>
      </c>
      <c r="Q128" s="860">
        <f t="shared" si="80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186">
        <v>223239.5</v>
      </c>
      <c r="H129" s="855">
        <f t="shared" si="72"/>
        <v>589657</v>
      </c>
      <c r="I129" s="186">
        <f t="shared" si="73"/>
        <v>105283.25</v>
      </c>
      <c r="J129" s="860">
        <v>37639.839999999997</v>
      </c>
      <c r="K129" s="860">
        <f t="shared" si="74"/>
        <v>47172.56</v>
      </c>
      <c r="L129" s="860">
        <f t="shared" si="75"/>
        <v>9532.7199999999993</v>
      </c>
      <c r="M129" s="860">
        <v>0</v>
      </c>
      <c r="N129" s="860"/>
      <c r="O129" s="860">
        <f t="shared" si="76"/>
        <v>0</v>
      </c>
      <c r="P129" s="860">
        <f t="shared" si="77"/>
        <v>566070.72</v>
      </c>
      <c r="Q129" s="860">
        <f t="shared" si="80"/>
        <v>0</v>
      </c>
    </row>
    <row r="130" spans="1:17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186">
        <v>210449.33333333299</v>
      </c>
      <c r="H130" s="855">
        <f t="shared" si="72"/>
        <v>558165.25</v>
      </c>
      <c r="I130" s="186">
        <f t="shared" si="73"/>
        <v>101543</v>
      </c>
      <c r="J130" s="860">
        <v>35419.72</v>
      </c>
      <c r="K130" s="860">
        <f t="shared" si="74"/>
        <v>44653.22</v>
      </c>
      <c r="L130" s="860">
        <f t="shared" si="75"/>
        <v>9233.5</v>
      </c>
      <c r="M130" s="860">
        <v>5967.3062499999996</v>
      </c>
      <c r="N130" s="860">
        <f t="shared" ref="N130:N135" si="81">0.025*F130</f>
        <v>8692.8979166666704</v>
      </c>
      <c r="O130" s="860">
        <f t="shared" si="76"/>
        <v>2725.5916666666699</v>
      </c>
      <c r="P130" s="860">
        <f t="shared" si="77"/>
        <v>535838.64</v>
      </c>
      <c r="Q130" s="860">
        <f t="shared" si="80"/>
        <v>104314.77499999999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186">
        <v>216844.41666666701</v>
      </c>
      <c r="H131" s="855">
        <f t="shared" si="72"/>
        <v>573911.08333333395</v>
      </c>
      <c r="I131" s="186">
        <f t="shared" si="73"/>
        <v>103413.083333334</v>
      </c>
      <c r="J131" s="860">
        <v>36529.78</v>
      </c>
      <c r="K131" s="860">
        <f t="shared" si="74"/>
        <v>45912.886666666702</v>
      </c>
      <c r="L131" s="860">
        <f t="shared" si="75"/>
        <v>9383.1066666667193</v>
      </c>
      <c r="M131" s="860">
        <v>6154.3229166666697</v>
      </c>
      <c r="N131" s="860">
        <f t="shared" si="81"/>
        <v>8926.6666666666806</v>
      </c>
      <c r="O131" s="860">
        <f t="shared" si="76"/>
        <v>2772.34375000001</v>
      </c>
      <c r="P131" s="860">
        <f t="shared" si="77"/>
        <v>550954.64000000095</v>
      </c>
      <c r="Q131" s="860">
        <f t="shared" si="80"/>
        <v>107120</v>
      </c>
    </row>
    <row r="132" spans="1:17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186">
        <v>127704.91666666701</v>
      </c>
      <c r="H132" s="855">
        <f t="shared" si="72"/>
        <v>355320.66666666698</v>
      </c>
      <c r="I132" s="186">
        <f t="shared" si="73"/>
        <v>77522.666666667006</v>
      </c>
      <c r="J132" s="860">
        <v>21638.5333333333</v>
      </c>
      <c r="K132" s="860">
        <f t="shared" si="74"/>
        <v>28425.653333333401</v>
      </c>
      <c r="L132" s="860">
        <f t="shared" si="75"/>
        <v>6787.1200000000599</v>
      </c>
      <c r="M132" s="860"/>
      <c r="N132" s="860"/>
      <c r="O132" s="860">
        <f t="shared" si="76"/>
        <v>0</v>
      </c>
      <c r="P132" s="860">
        <f t="shared" si="77"/>
        <v>341107.84</v>
      </c>
      <c r="Q132" s="860">
        <f t="shared" si="80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72"/>
        <v>301910.75</v>
      </c>
      <c r="I133" s="186">
        <f t="shared" si="73"/>
        <v>71278.833333332994</v>
      </c>
      <c r="J133" s="860">
        <v>17956.78</v>
      </c>
      <c r="K133" s="860">
        <f t="shared" si="74"/>
        <v>24152.86</v>
      </c>
      <c r="L133" s="860">
        <f t="shared" si="75"/>
        <v>6196.08</v>
      </c>
      <c r="M133" s="860">
        <v>0</v>
      </c>
      <c r="N133" s="860">
        <f t="shared" si="81"/>
        <v>4909.1104166666801</v>
      </c>
      <c r="O133" s="860">
        <f t="shared" si="76"/>
        <v>4909.1104166666801</v>
      </c>
      <c r="P133" s="860">
        <f t="shared" si="77"/>
        <v>289834.32</v>
      </c>
      <c r="Q133" s="860">
        <f t="shared" si="80"/>
        <v>58909.325000000099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72"/>
        <v>301910.75</v>
      </c>
      <c r="I134" s="186">
        <f t="shared" si="73"/>
        <v>71278.833333332994</v>
      </c>
      <c r="J134" s="860">
        <v>17956.78</v>
      </c>
      <c r="K134" s="860">
        <f t="shared" si="74"/>
        <v>24152.86</v>
      </c>
      <c r="L134" s="860">
        <f t="shared" si="75"/>
        <v>6196.08</v>
      </c>
      <c r="M134" s="860">
        <v>0</v>
      </c>
      <c r="N134" s="860">
        <f t="shared" si="81"/>
        <v>4909.1104166666801</v>
      </c>
      <c r="O134" s="860">
        <f t="shared" si="76"/>
        <v>4909.1104166666801</v>
      </c>
      <c r="P134" s="860">
        <f t="shared" si="77"/>
        <v>289834.32</v>
      </c>
      <c r="Q134" s="860">
        <f t="shared" si="80"/>
        <v>58909.325000000099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3">
        <v>102721.41666666701</v>
      </c>
      <c r="H135" s="864">
        <f t="shared" si="72"/>
        <v>294900.83333333401</v>
      </c>
      <c r="I135" s="863">
        <f t="shared" si="73"/>
        <v>70441.083333333998</v>
      </c>
      <c r="J135" s="866">
        <v>17463.006666666599</v>
      </c>
      <c r="K135" s="860">
        <f t="shared" si="74"/>
        <v>23592.066666666698</v>
      </c>
      <c r="L135" s="860">
        <f t="shared" si="75"/>
        <v>6129.0600000001205</v>
      </c>
      <c r="M135" s="860"/>
      <c r="N135" s="860">
        <f t="shared" si="81"/>
        <v>4804.4854166666801</v>
      </c>
      <c r="O135" s="860">
        <f t="shared" si="76"/>
        <v>4804.4854166666801</v>
      </c>
      <c r="P135" s="860">
        <f t="shared" si="77"/>
        <v>283104.80000000098</v>
      </c>
      <c r="Q135" s="860">
        <f t="shared" si="80"/>
        <v>57653.825000000099</v>
      </c>
    </row>
    <row r="136" spans="1:17" ht="28.5" customHeight="1">
      <c r="A136" s="2"/>
      <c r="B136" s="18" t="s">
        <v>120</v>
      </c>
      <c r="C136" s="24" t="s">
        <v>634</v>
      </c>
      <c r="D136" s="13"/>
      <c r="E136" s="122">
        <f t="shared" ref="E136:Q136" si="82">SUM(E126:E135)</f>
        <v>5289142.75</v>
      </c>
      <c r="F136" s="857">
        <f t="shared" si="82"/>
        <v>4048557.1666666698</v>
      </c>
      <c r="G136" s="187">
        <f t="shared" si="82"/>
        <v>2432343.4166666698</v>
      </c>
      <c r="H136" s="187">
        <f t="shared" si="82"/>
        <v>6480900.5833333302</v>
      </c>
      <c r="I136" s="187">
        <f t="shared" si="82"/>
        <v>1191757.83333333</v>
      </c>
      <c r="J136" s="187">
        <f t="shared" si="82"/>
        <v>417734.61333333299</v>
      </c>
      <c r="K136" s="187">
        <f t="shared" si="82"/>
        <v>518472.04666666698</v>
      </c>
      <c r="L136" s="187">
        <f t="shared" si="82"/>
        <v>100737.433333333</v>
      </c>
      <c r="M136" s="187">
        <f t="shared" si="82"/>
        <v>51467.529166666704</v>
      </c>
      <c r="N136" s="187">
        <f t="shared" si="82"/>
        <v>86363.097916666593</v>
      </c>
      <c r="O136" s="187">
        <f t="shared" si="82"/>
        <v>34895.568749999897</v>
      </c>
      <c r="P136" s="187">
        <f t="shared" si="82"/>
        <v>6221664.5599999996</v>
      </c>
      <c r="Q136" s="187">
        <f t="shared" si="82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301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83">F139+G139</f>
        <v>1647612</v>
      </c>
      <c r="I139" s="186">
        <f t="shared" ref="I139:I198" si="84">H139-E139</f>
        <v>295569.33333333</v>
      </c>
      <c r="J139" s="860">
        <v>114857.60000000001</v>
      </c>
      <c r="K139" s="860">
        <f t="shared" ref="K139:K198" si="85">H139*0.08</f>
        <v>131808.95999999999</v>
      </c>
      <c r="L139" s="860">
        <f t="shared" ref="L139:L198" si="86">K139-J139</f>
        <v>16951.3599999998</v>
      </c>
      <c r="M139" s="860">
        <v>18254.974999999999</v>
      </c>
      <c r="N139" s="860">
        <f t="shared" ref="N139:N143" si="87">0.025*F139</f>
        <v>25644.208333333299</v>
      </c>
      <c r="O139" s="860">
        <f t="shared" ref="O139:O198" si="88">N139-M139</f>
        <v>7389.2333333332499</v>
      </c>
      <c r="P139" s="860">
        <f t="shared" ref="P139:P198" si="89">12*K139</f>
        <v>1581707.52</v>
      </c>
      <c r="Q139" s="860">
        <f t="shared" ref="Q139:Q198" si="90"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186">
        <v>350637.25</v>
      </c>
      <c r="H140" s="186">
        <f t="shared" si="83"/>
        <v>905306.75</v>
      </c>
      <c r="I140" s="186">
        <f t="shared" si="84"/>
        <v>142933.58333333299</v>
      </c>
      <c r="J140" s="860">
        <v>60989.853333333303</v>
      </c>
      <c r="K140" s="860">
        <f t="shared" si="85"/>
        <v>72424.539999999994</v>
      </c>
      <c r="L140" s="860">
        <f t="shared" si="86"/>
        <v>11434.686666666699</v>
      </c>
      <c r="M140" s="860">
        <v>10293.3979166667</v>
      </c>
      <c r="N140" s="860">
        <f t="shared" si="87"/>
        <v>13866.737499999999</v>
      </c>
      <c r="O140" s="860">
        <f t="shared" si="88"/>
        <v>3573.3395833333002</v>
      </c>
      <c r="P140" s="860">
        <f t="shared" si="89"/>
        <v>869094.48</v>
      </c>
      <c r="Q140" s="860">
        <f t="shared" si="90"/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83"/>
        <v>700713.91666666605</v>
      </c>
      <c r="I141" s="186">
        <f t="shared" si="84"/>
        <v>118595.83333333299</v>
      </c>
      <c r="J141" s="860">
        <v>46569.45</v>
      </c>
      <c r="K141" s="860">
        <f t="shared" si="85"/>
        <v>56057.113333333298</v>
      </c>
      <c r="L141" s="860">
        <f t="shared" si="86"/>
        <v>9487.6633333332902</v>
      </c>
      <c r="M141" s="860">
        <v>8380.2270833333296</v>
      </c>
      <c r="N141" s="860">
        <f t="shared" si="87"/>
        <v>10824.5270833333</v>
      </c>
      <c r="O141" s="860">
        <f t="shared" si="88"/>
        <v>2444.3000000000002</v>
      </c>
      <c r="P141" s="860">
        <f t="shared" si="89"/>
        <v>672685.35999999905</v>
      </c>
      <c r="Q141" s="860">
        <f t="shared" si="90"/>
        <v>129894.325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83"/>
        <v>700713.91666666605</v>
      </c>
      <c r="I142" s="186">
        <f t="shared" si="84"/>
        <v>118594.83333333299</v>
      </c>
      <c r="J142" s="860">
        <v>46569.45</v>
      </c>
      <c r="K142" s="860">
        <f t="shared" si="85"/>
        <v>56057.113333333298</v>
      </c>
      <c r="L142" s="860">
        <f t="shared" si="86"/>
        <v>9487.6633333332902</v>
      </c>
      <c r="M142" s="860">
        <v>8381.2270833333296</v>
      </c>
      <c r="N142" s="860">
        <f t="shared" si="87"/>
        <v>10824.5270833333</v>
      </c>
      <c r="O142" s="860">
        <f t="shared" si="88"/>
        <v>2443.3000000000002</v>
      </c>
      <c r="P142" s="860">
        <f t="shared" si="89"/>
        <v>672685.35999999905</v>
      </c>
      <c r="Q142" s="860">
        <f t="shared" si="90"/>
        <v>129894.325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83"/>
        <v>700713.91666666605</v>
      </c>
      <c r="I143" s="186">
        <f t="shared" si="84"/>
        <v>118593.83333333299</v>
      </c>
      <c r="J143" s="860">
        <v>46569.45</v>
      </c>
      <c r="K143" s="860">
        <f t="shared" si="85"/>
        <v>56057.113333333298</v>
      </c>
      <c r="L143" s="860">
        <f t="shared" si="86"/>
        <v>9487.6633333332902</v>
      </c>
      <c r="M143" s="860">
        <v>8382.2270833333296</v>
      </c>
      <c r="N143" s="860">
        <f t="shared" si="87"/>
        <v>10824.5270833333</v>
      </c>
      <c r="O143" s="860">
        <f t="shared" si="88"/>
        <v>2442.3000000000002</v>
      </c>
      <c r="P143" s="860">
        <f t="shared" si="89"/>
        <v>672685.35999999905</v>
      </c>
      <c r="Q143" s="860">
        <f t="shared" si="90"/>
        <v>129894.325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83"/>
        <v>482846.58333333401</v>
      </c>
      <c r="I144" s="186">
        <f t="shared" si="84"/>
        <v>92597.666666667006</v>
      </c>
      <c r="J144" s="860">
        <v>31219.91</v>
      </c>
      <c r="K144" s="860">
        <f t="shared" si="85"/>
        <v>38627.726666666698</v>
      </c>
      <c r="L144" s="860">
        <f t="shared" si="86"/>
        <v>7407.8166666667203</v>
      </c>
      <c r="M144" s="860">
        <v>0</v>
      </c>
      <c r="N144" s="860"/>
      <c r="O144" s="860">
        <f t="shared" si="88"/>
        <v>0</v>
      </c>
      <c r="P144" s="860">
        <f t="shared" si="89"/>
        <v>463532.72000000102</v>
      </c>
      <c r="Q144" s="860">
        <f t="shared" si="90"/>
        <v>0</v>
      </c>
    </row>
    <row r="145" spans="1:17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83"/>
        <v>482846.58333333401</v>
      </c>
      <c r="I145" s="186">
        <f t="shared" si="84"/>
        <v>92597.666666667006</v>
      </c>
      <c r="J145" s="860">
        <v>31219.91</v>
      </c>
      <c r="K145" s="860">
        <f t="shared" si="85"/>
        <v>38627.726666666698</v>
      </c>
      <c r="L145" s="860">
        <f t="shared" si="86"/>
        <v>7407.8166666667203</v>
      </c>
      <c r="M145" s="860">
        <v>0</v>
      </c>
      <c r="N145" s="860"/>
      <c r="O145" s="860">
        <f t="shared" si="88"/>
        <v>0</v>
      </c>
      <c r="P145" s="860">
        <f t="shared" si="89"/>
        <v>463532.72000000102</v>
      </c>
      <c r="Q145" s="860">
        <f t="shared" si="90"/>
        <v>0</v>
      </c>
    </row>
    <row r="146" spans="1:17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186">
        <v>179784</v>
      </c>
      <c r="H146" s="186">
        <f t="shared" si="83"/>
        <v>482662.66666666698</v>
      </c>
      <c r="I146" s="186">
        <f t="shared" si="84"/>
        <v>92576.166666667006</v>
      </c>
      <c r="J146" s="860">
        <v>30231.613333333298</v>
      </c>
      <c r="K146" s="860">
        <f t="shared" si="85"/>
        <v>38613.013333333402</v>
      </c>
      <c r="L146" s="860">
        <f t="shared" si="86"/>
        <v>8381.4000000000597</v>
      </c>
      <c r="M146" s="860">
        <v>0</v>
      </c>
      <c r="N146" s="860"/>
      <c r="O146" s="860">
        <f t="shared" si="88"/>
        <v>0</v>
      </c>
      <c r="P146" s="860">
        <f t="shared" si="89"/>
        <v>463356.15999999997</v>
      </c>
      <c r="Q146" s="860">
        <f t="shared" si="90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186">
        <v>174165.25</v>
      </c>
      <c r="H147" s="186">
        <f t="shared" si="83"/>
        <v>468828.16666666698</v>
      </c>
      <c r="I147" s="186">
        <f t="shared" si="84"/>
        <v>90933</v>
      </c>
      <c r="J147" s="860">
        <v>29256.3066666667</v>
      </c>
      <c r="K147" s="860">
        <f t="shared" si="85"/>
        <v>37506.253333333399</v>
      </c>
      <c r="L147" s="860">
        <f t="shared" si="86"/>
        <v>8249.9466666666594</v>
      </c>
      <c r="M147" s="860">
        <v>4928.9333333333298</v>
      </c>
      <c r="N147" s="860">
        <f t="shared" ref="N147:N150" si="91">0.025*F147</f>
        <v>7366.5729166666797</v>
      </c>
      <c r="O147" s="860">
        <f t="shared" si="88"/>
        <v>2437.6395833333499</v>
      </c>
      <c r="P147" s="860">
        <f t="shared" si="89"/>
        <v>450075.04</v>
      </c>
      <c r="Q147" s="860">
        <f t="shared" si="90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186">
        <v>168546.5</v>
      </c>
      <c r="H148" s="186">
        <f t="shared" si="83"/>
        <v>454993.58333333302</v>
      </c>
      <c r="I148" s="186">
        <f t="shared" si="84"/>
        <v>89289.75</v>
      </c>
      <c r="J148" s="860">
        <v>28281</v>
      </c>
      <c r="K148" s="860">
        <f t="shared" si="85"/>
        <v>36399.486666666598</v>
      </c>
      <c r="L148" s="860">
        <f t="shared" si="86"/>
        <v>8118.4866666666403</v>
      </c>
      <c r="M148" s="860">
        <v>0</v>
      </c>
      <c r="N148" s="860">
        <f t="shared" si="91"/>
        <v>7161.1770833333303</v>
      </c>
      <c r="O148" s="860">
        <f t="shared" si="88"/>
        <v>7161.1770833333303</v>
      </c>
      <c r="P148" s="860">
        <f t="shared" si="89"/>
        <v>436793.84</v>
      </c>
      <c r="Q148" s="860">
        <f t="shared" si="90"/>
        <v>85934.124999999898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186">
        <v>162927.75</v>
      </c>
      <c r="H149" s="186">
        <f t="shared" si="83"/>
        <v>441159</v>
      </c>
      <c r="I149" s="186">
        <f t="shared" si="84"/>
        <v>87646.5</v>
      </c>
      <c r="J149" s="860">
        <v>28281</v>
      </c>
      <c r="K149" s="860">
        <f t="shared" si="85"/>
        <v>35292.720000000001</v>
      </c>
      <c r="L149" s="860">
        <f t="shared" si="86"/>
        <v>7011.72</v>
      </c>
      <c r="M149" s="860">
        <v>0</v>
      </c>
      <c r="N149" s="860"/>
      <c r="O149" s="860">
        <f t="shared" si="88"/>
        <v>0</v>
      </c>
      <c r="P149" s="860">
        <f t="shared" si="89"/>
        <v>423512.64</v>
      </c>
      <c r="Q149" s="860">
        <f t="shared" si="90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186">
        <v>162927.75</v>
      </c>
      <c r="H150" s="186">
        <f t="shared" si="83"/>
        <v>441159</v>
      </c>
      <c r="I150" s="186">
        <f t="shared" si="84"/>
        <v>87646.5</v>
      </c>
      <c r="J150" s="860">
        <v>28281</v>
      </c>
      <c r="K150" s="860">
        <f t="shared" si="85"/>
        <v>35292.720000000001</v>
      </c>
      <c r="L150" s="860">
        <f t="shared" si="86"/>
        <v>7011.72</v>
      </c>
      <c r="M150" s="860">
        <v>4928.9333333333298</v>
      </c>
      <c r="N150" s="860">
        <f t="shared" si="91"/>
        <v>6955.78125</v>
      </c>
      <c r="O150" s="860">
        <f t="shared" si="88"/>
        <v>2026.84791666667</v>
      </c>
      <c r="P150" s="860">
        <f t="shared" si="89"/>
        <v>423512.64</v>
      </c>
      <c r="Q150" s="860">
        <f t="shared" si="90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186">
        <v>168546.5</v>
      </c>
      <c r="H151" s="186">
        <f t="shared" si="83"/>
        <v>454993.58333333302</v>
      </c>
      <c r="I151" s="186">
        <f t="shared" si="84"/>
        <v>89289.75</v>
      </c>
      <c r="J151" s="860">
        <v>28281</v>
      </c>
      <c r="K151" s="860">
        <f t="shared" si="85"/>
        <v>36399.486666666598</v>
      </c>
      <c r="L151" s="860">
        <f t="shared" si="86"/>
        <v>8118.4866666666403</v>
      </c>
      <c r="M151" s="860">
        <v>0</v>
      </c>
      <c r="N151" s="860"/>
      <c r="O151" s="860">
        <f t="shared" si="88"/>
        <v>0</v>
      </c>
      <c r="P151" s="860">
        <f t="shared" si="89"/>
        <v>436793.84</v>
      </c>
      <c r="Q151" s="860">
        <f t="shared" si="90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186">
        <v>143964.66666666701</v>
      </c>
      <c r="H152" s="186">
        <f t="shared" si="83"/>
        <v>390135.83333333401</v>
      </c>
      <c r="I152" s="186">
        <f t="shared" si="84"/>
        <v>81234.333333333998</v>
      </c>
      <c r="J152" s="860">
        <v>24077.246666666699</v>
      </c>
      <c r="K152" s="860">
        <f t="shared" si="85"/>
        <v>31210.866666666701</v>
      </c>
      <c r="L152" s="860">
        <f t="shared" si="86"/>
        <v>7133.6200000000199</v>
      </c>
      <c r="M152" s="860">
        <v>0</v>
      </c>
      <c r="N152" s="860">
        <f t="shared" ref="N152:N156" si="92">0.025*F152</f>
        <v>6154.2791666666799</v>
      </c>
      <c r="O152" s="860">
        <f t="shared" si="88"/>
        <v>6154.2791666666799</v>
      </c>
      <c r="P152" s="860">
        <f t="shared" si="89"/>
        <v>374530.40000000101</v>
      </c>
      <c r="Q152" s="860">
        <f t="shared" si="90"/>
        <v>73851.350000000093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83"/>
        <v>347016.16666666599</v>
      </c>
      <c r="I153" s="186">
        <f t="shared" si="84"/>
        <v>76534.499999998996</v>
      </c>
      <c r="J153" s="860">
        <v>21053.226666666698</v>
      </c>
      <c r="K153" s="860">
        <f t="shared" si="85"/>
        <v>27761.293333333299</v>
      </c>
      <c r="L153" s="860">
        <f t="shared" si="86"/>
        <v>6708.0666666665802</v>
      </c>
      <c r="M153" s="860">
        <v>0</v>
      </c>
      <c r="N153" s="860">
        <f t="shared" si="92"/>
        <v>5566.8645833333203</v>
      </c>
      <c r="O153" s="860">
        <f t="shared" si="88"/>
        <v>5566.8645833333203</v>
      </c>
      <c r="P153" s="860">
        <f t="shared" si="89"/>
        <v>333135.51999999903</v>
      </c>
      <c r="Q153" s="860">
        <f t="shared" si="90"/>
        <v>66802.374999999898</v>
      </c>
    </row>
    <row r="154" spans="1:17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251467.91666666701</v>
      </c>
      <c r="G154" s="186">
        <v>147663.25</v>
      </c>
      <c r="H154" s="186">
        <f t="shared" si="83"/>
        <v>399131.16666666698</v>
      </c>
      <c r="I154" s="186">
        <f t="shared" si="84"/>
        <v>82293.75</v>
      </c>
      <c r="J154" s="860">
        <v>24712.12</v>
      </c>
      <c r="K154" s="860">
        <f t="shared" si="85"/>
        <v>31930.493333333401</v>
      </c>
      <c r="L154" s="860">
        <f t="shared" si="86"/>
        <v>7218.3733333333603</v>
      </c>
      <c r="M154" s="860">
        <v>0</v>
      </c>
      <c r="N154" s="860"/>
      <c r="O154" s="860">
        <f t="shared" si="88"/>
        <v>0</v>
      </c>
      <c r="P154" s="860">
        <f t="shared" si="89"/>
        <v>383165.92</v>
      </c>
      <c r="Q154" s="860">
        <f t="shared" si="90"/>
        <v>0</v>
      </c>
    </row>
    <row r="155" spans="1:17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186">
        <v>127704.91666666701</v>
      </c>
      <c r="H155" s="186">
        <f t="shared" si="83"/>
        <v>355320.66666666698</v>
      </c>
      <c r="I155" s="186">
        <f t="shared" si="84"/>
        <v>77522.666666667006</v>
      </c>
      <c r="J155" s="860">
        <v>21638.5333333333</v>
      </c>
      <c r="K155" s="860">
        <f t="shared" si="85"/>
        <v>28425.653333333401</v>
      </c>
      <c r="L155" s="860">
        <f t="shared" si="86"/>
        <v>6787.1200000000599</v>
      </c>
      <c r="M155" s="860">
        <v>0</v>
      </c>
      <c r="N155" s="860">
        <f t="shared" si="92"/>
        <v>5690.3937500000002</v>
      </c>
      <c r="O155" s="860">
        <f t="shared" si="88"/>
        <v>5690.3937500000002</v>
      </c>
      <c r="P155" s="860">
        <f t="shared" si="89"/>
        <v>341107.84</v>
      </c>
      <c r="Q155" s="860">
        <f t="shared" si="90"/>
        <v>68284.725000000006</v>
      </c>
    </row>
    <row r="156" spans="1:17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251467.91666666701</v>
      </c>
      <c r="G156" s="186">
        <v>147663.25</v>
      </c>
      <c r="H156" s="186">
        <f t="shared" si="83"/>
        <v>399131.16666666698</v>
      </c>
      <c r="I156" s="186">
        <f t="shared" si="84"/>
        <v>82293.75</v>
      </c>
      <c r="J156" s="860">
        <v>24712.12</v>
      </c>
      <c r="K156" s="860">
        <f t="shared" si="85"/>
        <v>31930.493333333401</v>
      </c>
      <c r="L156" s="860">
        <f t="shared" si="86"/>
        <v>7218.3733333333603</v>
      </c>
      <c r="M156" s="860">
        <v>4123.4208333333299</v>
      </c>
      <c r="N156" s="860">
        <f t="shared" si="92"/>
        <v>6286.6979166666797</v>
      </c>
      <c r="O156" s="860">
        <f t="shared" si="88"/>
        <v>2163.2770833333502</v>
      </c>
      <c r="P156" s="860">
        <f t="shared" si="89"/>
        <v>383165.92</v>
      </c>
      <c r="Q156" s="860">
        <f t="shared" si="90"/>
        <v>75440.375000000102</v>
      </c>
    </row>
    <row r="157" spans="1:17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186">
        <v>127704.91666666701</v>
      </c>
      <c r="H157" s="186">
        <f t="shared" si="83"/>
        <v>355320.66666666698</v>
      </c>
      <c r="I157" s="186">
        <f t="shared" si="84"/>
        <v>77522.666666667006</v>
      </c>
      <c r="J157" s="860">
        <v>21638.5333333333</v>
      </c>
      <c r="K157" s="860">
        <f t="shared" si="85"/>
        <v>28425.653333333401</v>
      </c>
      <c r="L157" s="860">
        <f t="shared" si="86"/>
        <v>6787.1200000000599</v>
      </c>
      <c r="M157" s="860">
        <v>0</v>
      </c>
      <c r="N157" s="860"/>
      <c r="O157" s="860">
        <f t="shared" si="88"/>
        <v>0</v>
      </c>
      <c r="P157" s="860">
        <f t="shared" si="89"/>
        <v>341107.84</v>
      </c>
      <c r="Q157" s="860">
        <f t="shared" si="90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186">
        <v>120978.25</v>
      </c>
      <c r="H158" s="186">
        <f t="shared" si="83"/>
        <v>338711.66666666698</v>
      </c>
      <c r="I158" s="186">
        <f t="shared" si="84"/>
        <v>75546.333333333998</v>
      </c>
      <c r="J158" s="860">
        <v>20467.919999999998</v>
      </c>
      <c r="K158" s="860">
        <f t="shared" si="85"/>
        <v>27096.9333333334</v>
      </c>
      <c r="L158" s="860">
        <f t="shared" si="86"/>
        <v>6629.0133333333597</v>
      </c>
      <c r="M158" s="860">
        <v>0</v>
      </c>
      <c r="N158" s="860">
        <f t="shared" ref="N158:N164" si="93">0.025*F158</f>
        <v>5443.3354166666804</v>
      </c>
      <c r="O158" s="860">
        <f t="shared" si="88"/>
        <v>5443.3354166666804</v>
      </c>
      <c r="P158" s="860">
        <f t="shared" si="89"/>
        <v>325163.2</v>
      </c>
      <c r="Q158" s="860">
        <f t="shared" si="90"/>
        <v>65320.025000000103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186">
        <v>120978.25</v>
      </c>
      <c r="H159" s="186">
        <f t="shared" si="83"/>
        <v>338711.66666666698</v>
      </c>
      <c r="I159" s="186">
        <f t="shared" si="84"/>
        <v>75546.333333333998</v>
      </c>
      <c r="J159" s="860">
        <v>20467.919999999998</v>
      </c>
      <c r="K159" s="860">
        <f t="shared" si="85"/>
        <v>27096.9333333334</v>
      </c>
      <c r="L159" s="860">
        <f t="shared" si="86"/>
        <v>6629.0133333333597</v>
      </c>
      <c r="M159" s="860">
        <v>0</v>
      </c>
      <c r="N159" s="860"/>
      <c r="O159" s="860">
        <f t="shared" si="88"/>
        <v>0</v>
      </c>
      <c r="P159" s="860">
        <f t="shared" si="89"/>
        <v>325163.2</v>
      </c>
      <c r="Q159" s="860">
        <f t="shared" si="90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83"/>
        <v>301910.75</v>
      </c>
      <c r="I160" s="186">
        <f t="shared" si="84"/>
        <v>71278.833333332994</v>
      </c>
      <c r="J160" s="860">
        <v>17956.78</v>
      </c>
      <c r="K160" s="860">
        <f t="shared" si="85"/>
        <v>24152.86</v>
      </c>
      <c r="L160" s="860">
        <f t="shared" si="86"/>
        <v>6196.08</v>
      </c>
      <c r="M160" s="860">
        <v>0</v>
      </c>
      <c r="N160" s="860"/>
      <c r="O160" s="860">
        <f t="shared" si="88"/>
        <v>0</v>
      </c>
      <c r="P160" s="860">
        <f t="shared" si="89"/>
        <v>289834.32</v>
      </c>
      <c r="Q160" s="860">
        <f t="shared" si="90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83"/>
        <v>301910.75</v>
      </c>
      <c r="I161" s="186">
        <f t="shared" si="84"/>
        <v>71278.833333332994</v>
      </c>
      <c r="J161" s="860">
        <v>17956.78</v>
      </c>
      <c r="K161" s="860">
        <f t="shared" si="85"/>
        <v>24152.86</v>
      </c>
      <c r="L161" s="860">
        <f t="shared" si="86"/>
        <v>6196.08</v>
      </c>
      <c r="M161" s="860">
        <v>0</v>
      </c>
      <c r="N161" s="860">
        <f t="shared" si="93"/>
        <v>4909.1104166666801</v>
      </c>
      <c r="O161" s="860">
        <f t="shared" si="88"/>
        <v>4909.1104166666801</v>
      </c>
      <c r="P161" s="860">
        <f t="shared" si="89"/>
        <v>289834.32</v>
      </c>
      <c r="Q161" s="860">
        <f t="shared" si="90"/>
        <v>58909.325000000099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83"/>
        <v>301910.75</v>
      </c>
      <c r="I162" s="186">
        <f t="shared" si="84"/>
        <v>71278.833333332994</v>
      </c>
      <c r="J162" s="860">
        <v>17956.78</v>
      </c>
      <c r="K162" s="860">
        <f t="shared" si="85"/>
        <v>24152.86</v>
      </c>
      <c r="L162" s="860">
        <f t="shared" si="86"/>
        <v>6196.08</v>
      </c>
      <c r="M162" s="860">
        <v>0</v>
      </c>
      <c r="N162" s="860">
        <f t="shared" si="93"/>
        <v>4909.1104166666801</v>
      </c>
      <c r="O162" s="860">
        <f t="shared" si="88"/>
        <v>4909.1104166666801</v>
      </c>
      <c r="P162" s="860">
        <f t="shared" si="89"/>
        <v>289834.32</v>
      </c>
      <c r="Q162" s="860">
        <f t="shared" si="90"/>
        <v>58909.325000000099</v>
      </c>
    </row>
    <row r="163" spans="1:17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186">
        <v>108371.25</v>
      </c>
      <c r="H163" s="186">
        <f t="shared" si="83"/>
        <v>308920.66666666698</v>
      </c>
      <c r="I163" s="186">
        <f t="shared" si="84"/>
        <v>72116.583333333998</v>
      </c>
      <c r="J163" s="860">
        <v>18450.553333333301</v>
      </c>
      <c r="K163" s="860">
        <f t="shared" si="85"/>
        <v>24713.653333333401</v>
      </c>
      <c r="L163" s="860">
        <f t="shared" si="86"/>
        <v>6263.1000000000604</v>
      </c>
      <c r="M163" s="860">
        <v>0</v>
      </c>
      <c r="N163" s="860">
        <f t="shared" si="93"/>
        <v>5013.7354166666801</v>
      </c>
      <c r="O163" s="860">
        <f t="shared" si="88"/>
        <v>5013.7354166666801</v>
      </c>
      <c r="P163" s="860">
        <f t="shared" si="89"/>
        <v>296563.84000000003</v>
      </c>
      <c r="Q163" s="860">
        <f t="shared" si="90"/>
        <v>60164.825000000099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83"/>
        <v>301910.75</v>
      </c>
      <c r="I164" s="186">
        <f t="shared" si="84"/>
        <v>71278.833333332994</v>
      </c>
      <c r="J164" s="860">
        <v>17956.78</v>
      </c>
      <c r="K164" s="860">
        <f t="shared" si="85"/>
        <v>24152.86</v>
      </c>
      <c r="L164" s="860">
        <f t="shared" si="86"/>
        <v>6196.08</v>
      </c>
      <c r="M164" s="860">
        <v>0</v>
      </c>
      <c r="N164" s="860">
        <f t="shared" si="93"/>
        <v>4909.1104166666801</v>
      </c>
      <c r="O164" s="860">
        <f t="shared" si="88"/>
        <v>4909.1104166666801</v>
      </c>
      <c r="P164" s="860">
        <f t="shared" si="89"/>
        <v>289834.32</v>
      </c>
      <c r="Q164" s="860">
        <f t="shared" si="90"/>
        <v>58909.325000000099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186">
        <v>102721.41666666701</v>
      </c>
      <c r="H165" s="186">
        <f t="shared" si="83"/>
        <v>294900.83333333401</v>
      </c>
      <c r="I165" s="186">
        <f t="shared" si="84"/>
        <v>70441.083333333998</v>
      </c>
      <c r="J165" s="860">
        <v>17463.006666666599</v>
      </c>
      <c r="K165" s="860">
        <f t="shared" si="85"/>
        <v>23592.066666666698</v>
      </c>
      <c r="L165" s="860">
        <f t="shared" si="86"/>
        <v>6129.0600000001205</v>
      </c>
      <c r="M165" s="860"/>
      <c r="N165" s="860"/>
      <c r="O165" s="860">
        <f t="shared" si="88"/>
        <v>0</v>
      </c>
      <c r="P165" s="860">
        <f t="shared" si="89"/>
        <v>283104.80000000098</v>
      </c>
      <c r="Q165" s="860">
        <f t="shared" si="90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186">
        <v>102721.41666666701</v>
      </c>
      <c r="H166" s="186">
        <f t="shared" si="83"/>
        <v>294900.83333333401</v>
      </c>
      <c r="I166" s="186">
        <f t="shared" si="84"/>
        <v>70441.083333333998</v>
      </c>
      <c r="J166" s="860">
        <v>17463.006666666599</v>
      </c>
      <c r="K166" s="860">
        <f t="shared" si="85"/>
        <v>23592.066666666698</v>
      </c>
      <c r="L166" s="860">
        <f t="shared" si="86"/>
        <v>6129.0600000001205</v>
      </c>
      <c r="M166" s="860"/>
      <c r="N166" s="860"/>
      <c r="O166" s="860">
        <f t="shared" si="88"/>
        <v>0</v>
      </c>
      <c r="P166" s="860">
        <f t="shared" si="89"/>
        <v>283104.80000000098</v>
      </c>
      <c r="Q166" s="860">
        <f t="shared" si="90"/>
        <v>0</v>
      </c>
    </row>
    <row r="167" spans="1:17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186">
        <v>78428.583333333299</v>
      </c>
      <c r="H167" s="186">
        <f t="shared" si="83"/>
        <v>237717.16666666599</v>
      </c>
      <c r="I167" s="186">
        <f t="shared" si="84"/>
        <v>63857.6666666663</v>
      </c>
      <c r="J167" s="860">
        <v>13487.8533333333</v>
      </c>
      <c r="K167" s="860">
        <f t="shared" si="85"/>
        <v>19017.3733333333</v>
      </c>
      <c r="L167" s="860">
        <f t="shared" si="86"/>
        <v>5529.52</v>
      </c>
      <c r="M167" s="860">
        <v>2313.5749999999998</v>
      </c>
      <c r="N167" s="860">
        <f>0.025*F167</f>
        <v>3982.2145833333302</v>
      </c>
      <c r="O167" s="860">
        <f t="shared" si="88"/>
        <v>1668.6395833333299</v>
      </c>
      <c r="P167" s="860">
        <f t="shared" si="89"/>
        <v>228208.48</v>
      </c>
      <c r="Q167" s="860">
        <f t="shared" si="90"/>
        <v>47786.574999999903</v>
      </c>
    </row>
    <row r="168" spans="1:17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186">
        <v>78428.583333333299</v>
      </c>
      <c r="H168" s="186">
        <f t="shared" si="83"/>
        <v>237717.16666666599</v>
      </c>
      <c r="I168" s="186">
        <f t="shared" si="84"/>
        <v>63857.6666666663</v>
      </c>
      <c r="J168" s="860">
        <v>13487.8533333333</v>
      </c>
      <c r="K168" s="860">
        <f t="shared" si="85"/>
        <v>19017.3733333333</v>
      </c>
      <c r="L168" s="860">
        <f t="shared" si="86"/>
        <v>5529.52</v>
      </c>
      <c r="M168" s="860">
        <v>0</v>
      </c>
      <c r="N168" s="860"/>
      <c r="O168" s="860">
        <f t="shared" si="88"/>
        <v>0</v>
      </c>
      <c r="P168" s="860">
        <f t="shared" si="89"/>
        <v>228208.48</v>
      </c>
      <c r="Q168" s="860">
        <f t="shared" si="90"/>
        <v>0</v>
      </c>
    </row>
    <row r="169" spans="1:17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186">
        <v>78428.583333333299</v>
      </c>
      <c r="H169" s="186">
        <f t="shared" si="83"/>
        <v>237717.16666666599</v>
      </c>
      <c r="I169" s="186">
        <f t="shared" si="84"/>
        <v>63857.6666666663</v>
      </c>
      <c r="J169" s="860">
        <v>13487.8533333333</v>
      </c>
      <c r="K169" s="860">
        <f t="shared" si="85"/>
        <v>19017.3733333333</v>
      </c>
      <c r="L169" s="860">
        <f t="shared" si="86"/>
        <v>5529.52</v>
      </c>
      <c r="M169" s="860">
        <v>0</v>
      </c>
      <c r="N169" s="860"/>
      <c r="O169" s="860">
        <f t="shared" si="88"/>
        <v>0</v>
      </c>
      <c r="P169" s="860">
        <f t="shared" si="89"/>
        <v>228208.48</v>
      </c>
      <c r="Q169" s="860">
        <f t="shared" si="90"/>
        <v>0</v>
      </c>
    </row>
    <row r="170" spans="1:17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186">
        <v>78428.583333333299</v>
      </c>
      <c r="H170" s="186">
        <f t="shared" si="83"/>
        <v>237717.16666666599</v>
      </c>
      <c r="I170" s="186">
        <f t="shared" si="84"/>
        <v>63857.6666666663</v>
      </c>
      <c r="J170" s="860">
        <v>13487.8533333333</v>
      </c>
      <c r="K170" s="860">
        <f t="shared" si="85"/>
        <v>19017.3733333333</v>
      </c>
      <c r="L170" s="860">
        <f t="shared" si="86"/>
        <v>5529.52</v>
      </c>
      <c r="M170" s="860">
        <v>2313.5749999999998</v>
      </c>
      <c r="N170" s="860">
        <v>3982.2145833333302</v>
      </c>
      <c r="O170" s="860">
        <f t="shared" si="88"/>
        <v>1668.6395833333299</v>
      </c>
      <c r="P170" s="860">
        <f t="shared" si="89"/>
        <v>228208.48</v>
      </c>
      <c r="Q170" s="860">
        <f t="shared" si="90"/>
        <v>47786.574999999997</v>
      </c>
    </row>
    <row r="171" spans="1:17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186">
        <v>78428.583333333299</v>
      </c>
      <c r="H171" s="186">
        <f t="shared" si="83"/>
        <v>237717.16666666599</v>
      </c>
      <c r="I171" s="186">
        <f t="shared" si="84"/>
        <v>63857.6666666663</v>
      </c>
      <c r="J171" s="860">
        <v>13487.8533333333</v>
      </c>
      <c r="K171" s="860">
        <f t="shared" si="85"/>
        <v>19017.3733333333</v>
      </c>
      <c r="L171" s="860">
        <f t="shared" si="86"/>
        <v>5529.52</v>
      </c>
      <c r="M171" s="860"/>
      <c r="N171" s="860"/>
      <c r="O171" s="860">
        <f t="shared" si="88"/>
        <v>0</v>
      </c>
      <c r="P171" s="860">
        <f t="shared" si="89"/>
        <v>228208.48</v>
      </c>
      <c r="Q171" s="860">
        <f t="shared" si="90"/>
        <v>0</v>
      </c>
    </row>
    <row r="172" spans="1:17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83"/>
        <v>231733.83333333401</v>
      </c>
      <c r="I172" s="186">
        <f t="shared" si="84"/>
        <v>63135.666666666701</v>
      </c>
      <c r="J172" s="860">
        <v>13066.946666666699</v>
      </c>
      <c r="K172" s="860">
        <f t="shared" si="85"/>
        <v>18538.706666666701</v>
      </c>
      <c r="L172" s="860">
        <f t="shared" si="86"/>
        <v>5471.76</v>
      </c>
      <c r="M172" s="860"/>
      <c r="N172" s="860"/>
      <c r="O172" s="860">
        <f t="shared" si="88"/>
        <v>0</v>
      </c>
      <c r="P172" s="860">
        <f t="shared" si="89"/>
        <v>222464.48</v>
      </c>
      <c r="Q172" s="860">
        <f t="shared" si="90"/>
        <v>0</v>
      </c>
    </row>
    <row r="173" spans="1:17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83"/>
        <v>231733.83333333401</v>
      </c>
      <c r="I173" s="186">
        <f t="shared" si="84"/>
        <v>63135.666666666701</v>
      </c>
      <c r="J173" s="860">
        <v>13066.946666666699</v>
      </c>
      <c r="K173" s="860">
        <f t="shared" si="85"/>
        <v>18538.706666666701</v>
      </c>
      <c r="L173" s="860">
        <f t="shared" si="86"/>
        <v>5471.76</v>
      </c>
      <c r="M173" s="860"/>
      <c r="N173" s="860"/>
      <c r="O173" s="860">
        <f t="shared" si="88"/>
        <v>0</v>
      </c>
      <c r="P173" s="860">
        <f t="shared" si="89"/>
        <v>222464.48</v>
      </c>
      <c r="Q173" s="860">
        <f t="shared" si="90"/>
        <v>0</v>
      </c>
    </row>
    <row r="174" spans="1:17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83"/>
        <v>231733.83333333401</v>
      </c>
      <c r="I174" s="186">
        <f t="shared" si="84"/>
        <v>63135.666666666701</v>
      </c>
      <c r="J174" s="860">
        <v>13066.946666666699</v>
      </c>
      <c r="K174" s="860">
        <f t="shared" si="85"/>
        <v>18538.706666666701</v>
      </c>
      <c r="L174" s="860">
        <f t="shared" si="86"/>
        <v>5471.76</v>
      </c>
      <c r="M174" s="860"/>
      <c r="N174" s="860"/>
      <c r="O174" s="860">
        <f t="shared" si="88"/>
        <v>0</v>
      </c>
      <c r="P174" s="860">
        <f t="shared" si="89"/>
        <v>222464.48</v>
      </c>
      <c r="Q174" s="860">
        <f t="shared" si="90"/>
        <v>0</v>
      </c>
    </row>
    <row r="175" spans="1:17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83"/>
        <v>231733.83333333401</v>
      </c>
      <c r="I175" s="186">
        <f t="shared" si="84"/>
        <v>63135.666666666701</v>
      </c>
      <c r="J175" s="860">
        <v>13066.946666666699</v>
      </c>
      <c r="K175" s="860">
        <f t="shared" si="85"/>
        <v>18538.706666666701</v>
      </c>
      <c r="L175" s="860">
        <f t="shared" si="86"/>
        <v>5471.76</v>
      </c>
      <c r="M175" s="860"/>
      <c r="N175" s="860"/>
      <c r="O175" s="860">
        <f t="shared" si="88"/>
        <v>0</v>
      </c>
      <c r="P175" s="860">
        <f t="shared" si="89"/>
        <v>222464.48</v>
      </c>
      <c r="Q175" s="860">
        <f t="shared" si="90"/>
        <v>0</v>
      </c>
    </row>
    <row r="176" spans="1:17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83"/>
        <v>231733.83333333401</v>
      </c>
      <c r="I176" s="186">
        <f t="shared" si="84"/>
        <v>63135.666666666701</v>
      </c>
      <c r="J176" s="860">
        <v>13066.946666666699</v>
      </c>
      <c r="K176" s="860">
        <f t="shared" si="85"/>
        <v>18538.706666666701</v>
      </c>
      <c r="L176" s="860">
        <f t="shared" si="86"/>
        <v>5471.76</v>
      </c>
      <c r="M176" s="860"/>
      <c r="N176" s="860"/>
      <c r="O176" s="860">
        <f t="shared" si="88"/>
        <v>0</v>
      </c>
      <c r="P176" s="860">
        <f t="shared" si="89"/>
        <v>222464.48</v>
      </c>
      <c r="Q176" s="860">
        <f t="shared" si="90"/>
        <v>0</v>
      </c>
    </row>
    <row r="177" spans="1:17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83"/>
        <v>231733.83333333401</v>
      </c>
      <c r="I177" s="186">
        <f t="shared" si="84"/>
        <v>63135.666666666701</v>
      </c>
      <c r="J177" s="860">
        <v>13066.946666666699</v>
      </c>
      <c r="K177" s="860">
        <f t="shared" si="85"/>
        <v>18538.706666666701</v>
      </c>
      <c r="L177" s="860">
        <f t="shared" si="86"/>
        <v>5471.76</v>
      </c>
      <c r="M177" s="860"/>
      <c r="N177" s="860"/>
      <c r="O177" s="860">
        <f t="shared" si="88"/>
        <v>0</v>
      </c>
      <c r="P177" s="860">
        <f t="shared" si="89"/>
        <v>222464.48</v>
      </c>
      <c r="Q177" s="860">
        <f t="shared" si="90"/>
        <v>0</v>
      </c>
    </row>
    <row r="178" spans="1:17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186">
        <v>71308.333333333299</v>
      </c>
      <c r="H178" s="186">
        <f t="shared" si="83"/>
        <v>219767.33333333299</v>
      </c>
      <c r="I178" s="186">
        <f t="shared" si="84"/>
        <v>61691.833333333299</v>
      </c>
      <c r="J178" s="860">
        <v>12225.1333333333</v>
      </c>
      <c r="K178" s="860">
        <f t="shared" si="85"/>
        <v>17581.386666666702</v>
      </c>
      <c r="L178" s="860">
        <f t="shared" si="86"/>
        <v>5356.2533333333604</v>
      </c>
      <c r="M178" s="860"/>
      <c r="N178" s="860"/>
      <c r="O178" s="860">
        <f t="shared" si="88"/>
        <v>0</v>
      </c>
      <c r="P178" s="860">
        <f t="shared" si="89"/>
        <v>210976.64000000001</v>
      </c>
      <c r="Q178" s="860">
        <f t="shared" si="90"/>
        <v>0</v>
      </c>
    </row>
    <row r="179" spans="1:17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186">
        <v>71308.333333333299</v>
      </c>
      <c r="H179" s="186">
        <f t="shared" si="83"/>
        <v>219767.33333333299</v>
      </c>
      <c r="I179" s="186">
        <f t="shared" si="84"/>
        <v>61691.833333333299</v>
      </c>
      <c r="J179" s="860">
        <v>12225.1333333333</v>
      </c>
      <c r="K179" s="860">
        <f t="shared" si="85"/>
        <v>17581.386666666702</v>
      </c>
      <c r="L179" s="860">
        <f t="shared" si="86"/>
        <v>5356.2533333333604</v>
      </c>
      <c r="M179" s="860"/>
      <c r="N179" s="860"/>
      <c r="O179" s="860">
        <f t="shared" si="88"/>
        <v>0</v>
      </c>
      <c r="P179" s="860">
        <f t="shared" si="89"/>
        <v>210976.64000000001</v>
      </c>
      <c r="Q179" s="860">
        <f t="shared" si="90"/>
        <v>0</v>
      </c>
    </row>
    <row r="180" spans="1:17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186">
        <v>73681.75</v>
      </c>
      <c r="H180" s="186">
        <f t="shared" si="83"/>
        <v>225750.58333333299</v>
      </c>
      <c r="I180" s="186">
        <f t="shared" si="84"/>
        <v>62413.75</v>
      </c>
      <c r="J180" s="860">
        <v>12646.04</v>
      </c>
      <c r="K180" s="860">
        <f t="shared" si="85"/>
        <v>18060.0466666666</v>
      </c>
      <c r="L180" s="860">
        <f t="shared" si="86"/>
        <v>5414.0066666666398</v>
      </c>
      <c r="M180" s="860"/>
      <c r="N180" s="860"/>
      <c r="O180" s="860">
        <f t="shared" si="88"/>
        <v>0</v>
      </c>
      <c r="P180" s="860">
        <f t="shared" si="89"/>
        <v>216720.56</v>
      </c>
      <c r="Q180" s="860">
        <f t="shared" si="90"/>
        <v>0</v>
      </c>
    </row>
    <row r="181" spans="1:17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83"/>
        <v>213784</v>
      </c>
      <c r="I181" s="186">
        <f t="shared" si="84"/>
        <v>60969.833333332703</v>
      </c>
      <c r="J181" s="860">
        <v>12225.1333333333</v>
      </c>
      <c r="K181" s="860">
        <f t="shared" si="85"/>
        <v>17102.72</v>
      </c>
      <c r="L181" s="860">
        <f t="shared" si="86"/>
        <v>4877.5866666666798</v>
      </c>
      <c r="M181" s="860"/>
      <c r="N181" s="860"/>
      <c r="O181" s="860">
        <f t="shared" si="88"/>
        <v>0</v>
      </c>
      <c r="P181" s="860">
        <f t="shared" si="89"/>
        <v>205232.64000000001</v>
      </c>
      <c r="Q181" s="860">
        <f t="shared" si="90"/>
        <v>0</v>
      </c>
    </row>
    <row r="182" spans="1:17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186">
        <v>45303.5</v>
      </c>
      <c r="H182" s="186">
        <f t="shared" si="83"/>
        <v>146356.75</v>
      </c>
      <c r="I182" s="186">
        <f t="shared" si="84"/>
        <v>52211</v>
      </c>
      <c r="J182" s="860">
        <v>7327.84</v>
      </c>
      <c r="K182" s="860">
        <f t="shared" si="85"/>
        <v>11708.54</v>
      </c>
      <c r="L182" s="860">
        <f t="shared" si="86"/>
        <v>4380.7</v>
      </c>
      <c r="M182" s="860"/>
      <c r="N182" s="860"/>
      <c r="O182" s="860">
        <f t="shared" si="88"/>
        <v>0</v>
      </c>
      <c r="P182" s="860">
        <f t="shared" si="89"/>
        <v>140502.48000000001</v>
      </c>
      <c r="Q182" s="860">
        <f t="shared" si="90"/>
        <v>0</v>
      </c>
    </row>
    <row r="183" spans="1:17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186">
        <v>45303.5</v>
      </c>
      <c r="H183" s="186">
        <f t="shared" si="83"/>
        <v>146356.75</v>
      </c>
      <c r="I183" s="186">
        <f t="shared" si="84"/>
        <v>52211</v>
      </c>
      <c r="J183" s="860">
        <v>7327.84</v>
      </c>
      <c r="K183" s="860">
        <f t="shared" si="85"/>
        <v>11708.54</v>
      </c>
      <c r="L183" s="860">
        <f t="shared" si="86"/>
        <v>4380.7</v>
      </c>
      <c r="M183" s="860"/>
      <c r="N183" s="860"/>
      <c r="O183" s="860">
        <f t="shared" si="88"/>
        <v>0</v>
      </c>
      <c r="P183" s="860">
        <f t="shared" si="89"/>
        <v>140502.48000000001</v>
      </c>
      <c r="Q183" s="860">
        <f t="shared" si="90"/>
        <v>0</v>
      </c>
    </row>
    <row r="184" spans="1:17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186">
        <v>45303.5</v>
      </c>
      <c r="H184" s="186">
        <f t="shared" si="83"/>
        <v>146356.75</v>
      </c>
      <c r="I184" s="186">
        <f t="shared" si="84"/>
        <v>52211</v>
      </c>
      <c r="J184" s="860">
        <v>7327.84</v>
      </c>
      <c r="K184" s="860">
        <f t="shared" si="85"/>
        <v>11708.54</v>
      </c>
      <c r="L184" s="860">
        <f t="shared" si="86"/>
        <v>4380.7</v>
      </c>
      <c r="M184" s="860"/>
      <c r="N184" s="860"/>
      <c r="O184" s="860">
        <f t="shared" si="88"/>
        <v>0</v>
      </c>
      <c r="P184" s="860">
        <f t="shared" si="89"/>
        <v>140502.48000000001</v>
      </c>
      <c r="Q184" s="860">
        <f t="shared" si="90"/>
        <v>0</v>
      </c>
    </row>
    <row r="185" spans="1:17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186">
        <v>45303.5</v>
      </c>
      <c r="H185" s="186">
        <f t="shared" si="83"/>
        <v>146356.75</v>
      </c>
      <c r="I185" s="186">
        <f t="shared" si="84"/>
        <v>52211</v>
      </c>
      <c r="J185" s="860">
        <v>7327.84</v>
      </c>
      <c r="K185" s="860">
        <f t="shared" si="85"/>
        <v>11708.54</v>
      </c>
      <c r="L185" s="860">
        <f t="shared" si="86"/>
        <v>4380.7</v>
      </c>
      <c r="M185" s="860"/>
      <c r="N185" s="860"/>
      <c r="O185" s="860">
        <f t="shared" si="88"/>
        <v>0</v>
      </c>
      <c r="P185" s="860">
        <f t="shared" si="89"/>
        <v>140502.48000000001</v>
      </c>
      <c r="Q185" s="860">
        <f t="shared" si="90"/>
        <v>0</v>
      </c>
    </row>
    <row r="186" spans="1:17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186">
        <v>45303.5</v>
      </c>
      <c r="H186" s="186">
        <f t="shared" si="83"/>
        <v>146356.75</v>
      </c>
      <c r="I186" s="186">
        <f t="shared" si="84"/>
        <v>52211</v>
      </c>
      <c r="J186" s="860">
        <v>7327.84</v>
      </c>
      <c r="K186" s="860">
        <f t="shared" si="85"/>
        <v>11708.54</v>
      </c>
      <c r="L186" s="860">
        <f t="shared" si="86"/>
        <v>4380.7</v>
      </c>
      <c r="M186" s="860"/>
      <c r="N186" s="860"/>
      <c r="O186" s="860">
        <f t="shared" si="88"/>
        <v>0</v>
      </c>
      <c r="P186" s="860">
        <f t="shared" si="89"/>
        <v>140502.48000000001</v>
      </c>
      <c r="Q186" s="860">
        <f t="shared" si="90"/>
        <v>0</v>
      </c>
    </row>
    <row r="187" spans="1:17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186">
        <v>45303.5</v>
      </c>
      <c r="H187" s="186">
        <f t="shared" si="83"/>
        <v>146356.75</v>
      </c>
      <c r="I187" s="186">
        <f t="shared" si="84"/>
        <v>52211</v>
      </c>
      <c r="J187" s="860">
        <v>7327.84</v>
      </c>
      <c r="K187" s="860">
        <f t="shared" si="85"/>
        <v>11708.54</v>
      </c>
      <c r="L187" s="860">
        <f t="shared" si="86"/>
        <v>4380.7</v>
      </c>
      <c r="M187" s="860"/>
      <c r="N187" s="860"/>
      <c r="O187" s="860">
        <f t="shared" si="88"/>
        <v>0</v>
      </c>
      <c r="P187" s="860">
        <f t="shared" si="89"/>
        <v>140502.48000000001</v>
      </c>
      <c r="Q187" s="860">
        <f t="shared" si="90"/>
        <v>0</v>
      </c>
    </row>
    <row r="188" spans="1:17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186">
        <v>45303.5</v>
      </c>
      <c r="H188" s="186">
        <f t="shared" si="83"/>
        <v>146356.75</v>
      </c>
      <c r="I188" s="186">
        <f t="shared" si="84"/>
        <v>52211</v>
      </c>
      <c r="J188" s="860">
        <v>7327.84</v>
      </c>
      <c r="K188" s="860">
        <f t="shared" si="85"/>
        <v>11708.54</v>
      </c>
      <c r="L188" s="860">
        <f t="shared" si="86"/>
        <v>4380.7</v>
      </c>
      <c r="M188" s="860"/>
      <c r="N188" s="860"/>
      <c r="O188" s="860">
        <f t="shared" si="88"/>
        <v>0</v>
      </c>
      <c r="P188" s="860">
        <f t="shared" si="89"/>
        <v>140502.48000000001</v>
      </c>
      <c r="Q188" s="860">
        <f t="shared" si="90"/>
        <v>0</v>
      </c>
    </row>
    <row r="189" spans="1:17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186">
        <v>45303.5</v>
      </c>
      <c r="H189" s="186">
        <f t="shared" si="83"/>
        <v>146356.75</v>
      </c>
      <c r="I189" s="186">
        <f t="shared" si="84"/>
        <v>52211</v>
      </c>
      <c r="J189" s="860"/>
      <c r="K189" s="860">
        <f t="shared" si="85"/>
        <v>11708.54</v>
      </c>
      <c r="L189" s="860">
        <f t="shared" si="86"/>
        <v>11708.54</v>
      </c>
      <c r="M189" s="860"/>
      <c r="N189" s="860"/>
      <c r="O189" s="860">
        <f t="shared" si="88"/>
        <v>0</v>
      </c>
      <c r="P189" s="860">
        <f t="shared" si="89"/>
        <v>140502.48000000001</v>
      </c>
      <c r="Q189" s="860">
        <f t="shared" si="90"/>
        <v>0</v>
      </c>
    </row>
    <row r="190" spans="1:17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186">
        <v>45303.5</v>
      </c>
      <c r="H190" s="186">
        <f t="shared" si="83"/>
        <v>146356.75</v>
      </c>
      <c r="I190" s="186">
        <f t="shared" si="84"/>
        <v>52211</v>
      </c>
      <c r="J190" s="860">
        <v>7327.84</v>
      </c>
      <c r="K190" s="860">
        <f t="shared" si="85"/>
        <v>11708.54</v>
      </c>
      <c r="L190" s="860">
        <f t="shared" si="86"/>
        <v>4380.7</v>
      </c>
      <c r="M190" s="860"/>
      <c r="N190" s="860"/>
      <c r="O190" s="860">
        <f t="shared" si="88"/>
        <v>0</v>
      </c>
      <c r="P190" s="860">
        <f t="shared" si="89"/>
        <v>140502.48000000001</v>
      </c>
      <c r="Q190" s="860">
        <f t="shared" si="90"/>
        <v>0</v>
      </c>
    </row>
    <row r="191" spans="1:17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186">
        <v>44008.75</v>
      </c>
      <c r="H191" s="186">
        <f t="shared" si="83"/>
        <v>143495.66666666701</v>
      </c>
      <c r="I191" s="186">
        <f t="shared" si="84"/>
        <v>51897.666666666701</v>
      </c>
      <c r="J191" s="860">
        <v>7124.02</v>
      </c>
      <c r="K191" s="860">
        <f t="shared" si="85"/>
        <v>11479.653333333301</v>
      </c>
      <c r="L191" s="860">
        <f t="shared" si="86"/>
        <v>4355.6333333333396</v>
      </c>
      <c r="M191" s="860"/>
      <c r="N191" s="860"/>
      <c r="O191" s="860">
        <f t="shared" si="88"/>
        <v>0</v>
      </c>
      <c r="P191" s="860">
        <f t="shared" si="89"/>
        <v>137755.84</v>
      </c>
      <c r="Q191" s="860">
        <f t="shared" si="90"/>
        <v>0</v>
      </c>
    </row>
    <row r="192" spans="1:17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186">
        <v>41419.25</v>
      </c>
      <c r="H192" s="186">
        <f t="shared" si="83"/>
        <v>137773.5</v>
      </c>
      <c r="I192" s="186">
        <f t="shared" si="84"/>
        <v>51271</v>
      </c>
      <c r="J192" s="860"/>
      <c r="K192" s="860">
        <f t="shared" si="85"/>
        <v>11021.88</v>
      </c>
      <c r="L192" s="860">
        <f t="shared" si="86"/>
        <v>11021.88</v>
      </c>
      <c r="M192" s="860"/>
      <c r="N192" s="860"/>
      <c r="O192" s="860">
        <f t="shared" si="88"/>
        <v>0</v>
      </c>
      <c r="P192" s="860">
        <f t="shared" si="89"/>
        <v>132262.56</v>
      </c>
      <c r="Q192" s="860">
        <f t="shared" si="90"/>
        <v>0</v>
      </c>
    </row>
    <row r="193" spans="1:17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186">
        <v>40124.5</v>
      </c>
      <c r="H193" s="186">
        <f t="shared" si="83"/>
        <v>134912.66666666701</v>
      </c>
      <c r="I193" s="186">
        <f t="shared" si="84"/>
        <v>50979.666666666701</v>
      </c>
      <c r="J193" s="860">
        <v>6920.2</v>
      </c>
      <c r="K193" s="860">
        <f t="shared" si="85"/>
        <v>10793.0133333333</v>
      </c>
      <c r="L193" s="860">
        <f t="shared" si="86"/>
        <v>3872.8133333333299</v>
      </c>
      <c r="M193" s="860"/>
      <c r="N193" s="860"/>
      <c r="O193" s="860">
        <f t="shared" si="88"/>
        <v>0</v>
      </c>
      <c r="P193" s="860">
        <f t="shared" si="89"/>
        <v>129516.16</v>
      </c>
      <c r="Q193" s="860">
        <f t="shared" si="90"/>
        <v>0</v>
      </c>
    </row>
    <row r="194" spans="1:17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2">
        <v>37471.166666666701</v>
      </c>
      <c r="H194" s="186">
        <f t="shared" si="83"/>
        <v>129049.41666666701</v>
      </c>
      <c r="I194" s="186">
        <f t="shared" si="84"/>
        <v>50315.583333333401</v>
      </c>
      <c r="J194" s="860">
        <v>6123.26</v>
      </c>
      <c r="K194" s="860">
        <f t="shared" si="85"/>
        <v>10323.9533333333</v>
      </c>
      <c r="L194" s="860">
        <f t="shared" si="86"/>
        <v>4200.69333333334</v>
      </c>
      <c r="M194" s="860"/>
      <c r="N194" s="860"/>
      <c r="O194" s="860">
        <f t="shared" si="88"/>
        <v>0</v>
      </c>
      <c r="P194" s="860">
        <f t="shared" si="89"/>
        <v>123887.44</v>
      </c>
      <c r="Q194" s="860">
        <f t="shared" si="90"/>
        <v>0</v>
      </c>
    </row>
    <row r="195" spans="1:17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2">
        <v>37471.166666666701</v>
      </c>
      <c r="H195" s="186">
        <f t="shared" si="83"/>
        <v>129049.41666666701</v>
      </c>
      <c r="I195" s="186">
        <f t="shared" si="84"/>
        <v>50315.583333333401</v>
      </c>
      <c r="J195" s="860">
        <v>6123.26</v>
      </c>
      <c r="K195" s="860">
        <f t="shared" si="85"/>
        <v>10323.9533333333</v>
      </c>
      <c r="L195" s="860">
        <f t="shared" si="86"/>
        <v>4200.69333333334</v>
      </c>
      <c r="M195" s="860"/>
      <c r="N195" s="860"/>
      <c r="O195" s="860">
        <f t="shared" si="88"/>
        <v>0</v>
      </c>
      <c r="P195" s="860">
        <f t="shared" si="89"/>
        <v>123887.44</v>
      </c>
      <c r="Q195" s="860">
        <f t="shared" si="90"/>
        <v>0</v>
      </c>
    </row>
    <row r="196" spans="1:17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2">
        <v>37471.166666666701</v>
      </c>
      <c r="H196" s="186">
        <f t="shared" si="83"/>
        <v>129049.41666666701</v>
      </c>
      <c r="I196" s="186">
        <f t="shared" si="84"/>
        <v>50315.583333333401</v>
      </c>
      <c r="J196" s="860">
        <v>6123.26</v>
      </c>
      <c r="K196" s="860">
        <f t="shared" si="85"/>
        <v>10323.9533333333</v>
      </c>
      <c r="L196" s="860">
        <f t="shared" si="86"/>
        <v>4200.69333333334</v>
      </c>
      <c r="M196" s="860"/>
      <c r="N196" s="860"/>
      <c r="O196" s="860">
        <f t="shared" si="88"/>
        <v>0</v>
      </c>
      <c r="P196" s="860">
        <f t="shared" si="89"/>
        <v>123887.44</v>
      </c>
      <c r="Q196" s="860">
        <f t="shared" si="90"/>
        <v>0</v>
      </c>
    </row>
    <row r="197" spans="1:17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186">
        <v>42714</v>
      </c>
      <c r="H197" s="186">
        <f t="shared" si="83"/>
        <v>140634.66666666701</v>
      </c>
      <c r="I197" s="186">
        <f t="shared" si="84"/>
        <v>51584.416666666701</v>
      </c>
      <c r="J197" s="860">
        <v>6920.2</v>
      </c>
      <c r="K197" s="860">
        <f t="shared" si="85"/>
        <v>11250.7733333333</v>
      </c>
      <c r="L197" s="860">
        <f t="shared" si="86"/>
        <v>4330.5733333333301</v>
      </c>
      <c r="M197" s="860"/>
      <c r="N197" s="860"/>
      <c r="O197" s="860">
        <f t="shared" si="88"/>
        <v>0</v>
      </c>
      <c r="P197" s="860">
        <f t="shared" si="89"/>
        <v>135009.28</v>
      </c>
      <c r="Q197" s="860">
        <f t="shared" si="90"/>
        <v>0</v>
      </c>
    </row>
    <row r="198" spans="1:17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186">
        <v>42714</v>
      </c>
      <c r="H198" s="186">
        <f t="shared" si="83"/>
        <v>140634.66666666701</v>
      </c>
      <c r="I198" s="186">
        <f t="shared" si="84"/>
        <v>51584.416666666701</v>
      </c>
      <c r="J198" s="860">
        <v>6920.2</v>
      </c>
      <c r="K198" s="860">
        <f t="shared" si="85"/>
        <v>11250.7733333333</v>
      </c>
      <c r="L198" s="860">
        <f t="shared" si="86"/>
        <v>4330.5733333333301</v>
      </c>
      <c r="M198" s="860"/>
      <c r="N198" s="860"/>
      <c r="O198" s="860">
        <f t="shared" si="88"/>
        <v>0</v>
      </c>
      <c r="P198" s="860">
        <f t="shared" si="89"/>
        <v>135009.28</v>
      </c>
      <c r="Q198" s="860">
        <f t="shared" si="90"/>
        <v>0</v>
      </c>
    </row>
    <row r="199" spans="1:17" ht="30.75" customHeight="1">
      <c r="A199" s="25"/>
      <c r="B199" s="6" t="s">
        <v>120</v>
      </c>
      <c r="C199" s="26" t="s">
        <v>646</v>
      </c>
      <c r="D199" s="27"/>
      <c r="E199" s="78">
        <f t="shared" ref="E199:Q199" si="94">SUM(E139:E198)</f>
        <v>14787756.9166667</v>
      </c>
      <c r="F199" s="856">
        <f t="shared" si="94"/>
        <v>12440135.5</v>
      </c>
      <c r="G199" s="78">
        <f t="shared" si="94"/>
        <v>6814126.75</v>
      </c>
      <c r="H199" s="78">
        <f t="shared" si="94"/>
        <v>19254262.25</v>
      </c>
      <c r="I199" s="78">
        <f t="shared" si="94"/>
        <v>4466505.3333333302</v>
      </c>
      <c r="J199" s="78">
        <f t="shared" si="94"/>
        <v>1154618.3566666699</v>
      </c>
      <c r="K199" s="78">
        <f t="shared" si="94"/>
        <v>1540340.98</v>
      </c>
      <c r="L199" s="78">
        <f t="shared" si="94"/>
        <v>385722.62333333399</v>
      </c>
      <c r="M199" s="78">
        <f t="shared" si="94"/>
        <v>72300.491666666698</v>
      </c>
      <c r="N199" s="78">
        <f t="shared" si="94"/>
        <v>150315.125</v>
      </c>
      <c r="O199" s="78">
        <f t="shared" si="94"/>
        <v>78014.633333333302</v>
      </c>
      <c r="P199" s="78">
        <f t="shared" si="94"/>
        <v>18484091.760000002</v>
      </c>
      <c r="Q199" s="78">
        <f t="shared" si="94"/>
        <v>1803781.5</v>
      </c>
    </row>
    <row r="200" spans="1:17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Q200" si="95">E199+E136+E123+E118+E112+E102+E94+E81+E72+E62+E57+E46+E39</f>
        <v>62694852.333666697</v>
      </c>
      <c r="F200" s="867">
        <f t="shared" si="95"/>
        <v>49056821.999999985</v>
      </c>
      <c r="G200" s="193">
        <f t="shared" si="95"/>
        <v>29017396.499999985</v>
      </c>
      <c r="H200" s="193">
        <f t="shared" si="95"/>
        <v>78074218.499999985</v>
      </c>
      <c r="I200" s="868">
        <f t="shared" si="95"/>
        <v>15379366.16633331</v>
      </c>
      <c r="J200" s="193">
        <f t="shared" si="95"/>
        <v>4754163.5599999996</v>
      </c>
      <c r="K200" s="193">
        <f t="shared" si="95"/>
        <v>6015821.9733333336</v>
      </c>
      <c r="L200" s="868">
        <f t="shared" si="95"/>
        <v>1261658.4133333326</v>
      </c>
      <c r="M200" s="193">
        <f t="shared" si="95"/>
        <v>267480.25624999998</v>
      </c>
      <c r="N200" s="193">
        <f t="shared" si="95"/>
        <v>513039.26874999993</v>
      </c>
      <c r="O200" s="868">
        <f t="shared" si="95"/>
        <v>245559.0124999996</v>
      </c>
      <c r="P200" s="193">
        <f t="shared" si="95"/>
        <v>72189863.679999992</v>
      </c>
      <c r="Q200" s="193">
        <f t="shared" si="95"/>
        <v>5757905.4499999983</v>
      </c>
    </row>
    <row r="201" spans="1:17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649</v>
      </c>
      <c r="C202" s="29">
        <f>SUM(C200:C201)</f>
        <v>175</v>
      </c>
      <c r="D202" s="30"/>
      <c r="E202" s="193">
        <f t="shared" ref="E202:Q202" si="96">E200+E201</f>
        <v>69258581.583666697</v>
      </c>
      <c r="F202" s="193">
        <f t="shared" si="96"/>
        <v>54402916.833333313</v>
      </c>
      <c r="G202" s="193">
        <f t="shared" si="96"/>
        <v>32040283.916666657</v>
      </c>
      <c r="H202" s="193">
        <f t="shared" si="96"/>
        <v>86443200.749999985</v>
      </c>
      <c r="I202" s="193">
        <f t="shared" si="96"/>
        <v>17184619.16633331</v>
      </c>
      <c r="J202" s="193">
        <f t="shared" si="96"/>
        <v>5279261.9000000004</v>
      </c>
      <c r="K202" s="193">
        <f t="shared" si="96"/>
        <v>6685340.5533333337</v>
      </c>
      <c r="L202" s="193">
        <f t="shared" si="96"/>
        <v>1406078.6533333326</v>
      </c>
      <c r="M202" s="193">
        <f t="shared" si="96"/>
        <v>267480.25624999998</v>
      </c>
      <c r="N202" s="193">
        <f t="shared" si="96"/>
        <v>513039.26874999993</v>
      </c>
      <c r="O202" s="193">
        <f t="shared" si="96"/>
        <v>245559.0124999996</v>
      </c>
      <c r="P202" s="193">
        <f t="shared" si="96"/>
        <v>72189863.679999992</v>
      </c>
      <c r="Q202" s="193">
        <f t="shared" si="96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5"/>
  <sheetViews>
    <sheetView workbookViewId="0">
      <selection activeCell="H11" sqref="H11"/>
    </sheetView>
  </sheetViews>
  <sheetFormatPr defaultColWidth="8.7109375" defaultRowHeight="12.75"/>
  <cols>
    <col min="1" max="1" width="6.5703125" customWidth="1"/>
    <col min="2" max="2" width="40.85546875" customWidth="1"/>
    <col min="3" max="3" width="13.140625" customWidth="1"/>
    <col min="4" max="4" width="17.85546875" customWidth="1"/>
  </cols>
  <sheetData>
    <row r="2" spans="1:4" ht="18.95" customHeight="1">
      <c r="A2" s="7" t="s">
        <v>22</v>
      </c>
      <c r="B2" s="6" t="s">
        <v>23</v>
      </c>
      <c r="C2" s="6"/>
      <c r="D2" s="67"/>
    </row>
    <row r="3" spans="1:4" ht="24.95" customHeight="1">
      <c r="A3" s="8">
        <v>1</v>
      </c>
      <c r="B3" s="597" t="s">
        <v>24</v>
      </c>
      <c r="C3" s="10" t="s">
        <v>26</v>
      </c>
      <c r="D3" s="691">
        <v>1971137.08333333</v>
      </c>
    </row>
    <row r="4" spans="1:4" ht="24.95" customHeight="1">
      <c r="A4" s="8">
        <v>2</v>
      </c>
      <c r="B4" s="597" t="s">
        <v>27</v>
      </c>
      <c r="C4" s="8" t="s">
        <v>29</v>
      </c>
      <c r="D4" s="691">
        <v>905306.75</v>
      </c>
    </row>
    <row r="5" spans="1:4" ht="24.95" customHeight="1">
      <c r="A5" s="8">
        <v>3</v>
      </c>
      <c r="B5" s="593" t="s">
        <v>30</v>
      </c>
      <c r="C5" s="8" t="s">
        <v>29</v>
      </c>
      <c r="D5" s="691">
        <v>905306.75</v>
      </c>
    </row>
    <row r="6" spans="1:4" ht="24.95" customHeight="1">
      <c r="A6" s="8">
        <v>4</v>
      </c>
      <c r="B6" s="597" t="s">
        <v>32</v>
      </c>
      <c r="C6" s="8" t="s">
        <v>29</v>
      </c>
      <c r="D6" s="691">
        <v>905306.75</v>
      </c>
    </row>
    <row r="7" spans="1:4" ht="24.95" customHeight="1">
      <c r="A7" s="8">
        <v>5</v>
      </c>
      <c r="B7" s="597" t="s">
        <v>34</v>
      </c>
      <c r="C7" s="13" t="s">
        <v>36</v>
      </c>
      <c r="D7" s="691">
        <v>905306.75</v>
      </c>
    </row>
    <row r="8" spans="1:4" ht="24.95" customHeight="1">
      <c r="A8" s="8">
        <v>6</v>
      </c>
      <c r="B8" s="597" t="s">
        <v>37</v>
      </c>
      <c r="C8" s="8" t="s">
        <v>39</v>
      </c>
      <c r="D8" s="691">
        <v>744477</v>
      </c>
    </row>
    <row r="9" spans="1:4" ht="24.95" customHeight="1">
      <c r="A9" s="8">
        <v>7</v>
      </c>
      <c r="B9" s="597" t="s">
        <v>40</v>
      </c>
      <c r="C9" s="13" t="s">
        <v>42</v>
      </c>
      <c r="D9" s="691">
        <v>700713.91666666605</v>
      </c>
    </row>
    <row r="10" spans="1:4" ht="24.95" customHeight="1">
      <c r="A10" s="8">
        <v>8</v>
      </c>
      <c r="B10" s="593" t="s">
        <v>43</v>
      </c>
      <c r="C10" s="13" t="s">
        <v>39</v>
      </c>
      <c r="D10" s="691">
        <v>744477</v>
      </c>
    </row>
    <row r="11" spans="1:4" ht="24.95" customHeight="1">
      <c r="A11" s="8">
        <v>9</v>
      </c>
      <c r="B11" s="597" t="s">
        <v>45</v>
      </c>
      <c r="C11" s="8" t="s">
        <v>47</v>
      </c>
      <c r="D11" s="691">
        <v>573911.08333333395</v>
      </c>
    </row>
    <row r="12" spans="1:4" ht="24.95" customHeight="1">
      <c r="A12" s="8">
        <v>10</v>
      </c>
      <c r="B12" s="597" t="s">
        <v>48</v>
      </c>
      <c r="C12" s="8" t="s">
        <v>50</v>
      </c>
      <c r="D12" s="691">
        <v>722595.5</v>
      </c>
    </row>
    <row r="13" spans="1:4" ht="24.95" customHeight="1">
      <c r="A13" s="8">
        <v>11</v>
      </c>
      <c r="B13" s="597" t="s">
        <v>51</v>
      </c>
      <c r="C13" s="8" t="s">
        <v>53</v>
      </c>
      <c r="D13" s="691">
        <v>542419.5</v>
      </c>
    </row>
    <row r="14" spans="1:4" ht="24.95" customHeight="1">
      <c r="A14" s="8">
        <v>12</v>
      </c>
      <c r="B14" s="313" t="s">
        <v>54</v>
      </c>
      <c r="C14" s="13" t="s">
        <v>56</v>
      </c>
      <c r="D14" s="691">
        <v>541351.33333333302</v>
      </c>
    </row>
    <row r="15" spans="1:4" ht="24.95" customHeight="1">
      <c r="A15" s="8">
        <v>13</v>
      </c>
      <c r="B15" s="313" t="s">
        <v>57</v>
      </c>
      <c r="C15" s="13" t="s">
        <v>59</v>
      </c>
      <c r="D15" s="955">
        <v>512098.91666666698</v>
      </c>
    </row>
    <row r="16" spans="1:4" ht="24.95" customHeight="1">
      <c r="A16" s="8">
        <v>14</v>
      </c>
      <c r="B16" s="313" t="s">
        <v>60</v>
      </c>
      <c r="C16" s="13" t="s">
        <v>59</v>
      </c>
      <c r="D16" s="955">
        <v>512098.91666666698</v>
      </c>
    </row>
    <row r="17" spans="1:4" ht="24.95" customHeight="1">
      <c r="A17" s="8">
        <v>15</v>
      </c>
      <c r="B17" s="597" t="s">
        <v>62</v>
      </c>
      <c r="C17" s="13" t="s">
        <v>64</v>
      </c>
      <c r="D17" s="691">
        <v>497472.75</v>
      </c>
    </row>
    <row r="18" spans="1:4" ht="24.95" customHeight="1">
      <c r="A18" s="8">
        <v>16</v>
      </c>
      <c r="B18" s="597" t="s">
        <v>65</v>
      </c>
      <c r="C18" s="13" t="s">
        <v>67</v>
      </c>
      <c r="D18" s="691">
        <v>482846.58333333302</v>
      </c>
    </row>
    <row r="19" spans="1:4" ht="24.95" customHeight="1">
      <c r="A19" s="8">
        <v>17</v>
      </c>
      <c r="B19" s="593" t="s">
        <v>68</v>
      </c>
      <c r="C19" s="8" t="s">
        <v>70</v>
      </c>
      <c r="D19" s="691">
        <v>468828.16666666698</v>
      </c>
    </row>
    <row r="20" spans="1:4" ht="24.95" customHeight="1">
      <c r="A20" s="8">
        <v>18</v>
      </c>
      <c r="B20" s="597" t="s">
        <v>71</v>
      </c>
      <c r="C20" s="13" t="s">
        <v>70</v>
      </c>
      <c r="D20" s="691">
        <v>468828.16666666698</v>
      </c>
    </row>
    <row r="21" spans="1:4" ht="24.95" customHeight="1">
      <c r="A21" s="8">
        <v>19</v>
      </c>
      <c r="B21" s="593" t="s">
        <v>73</v>
      </c>
      <c r="C21" s="8" t="s">
        <v>75</v>
      </c>
      <c r="D21" s="691">
        <v>381140.66666666599</v>
      </c>
    </row>
    <row r="22" spans="1:4" ht="24.95" customHeight="1">
      <c r="A22" s="8">
        <v>20</v>
      </c>
      <c r="B22" s="593" t="s">
        <v>76</v>
      </c>
      <c r="C22" s="8" t="s">
        <v>78</v>
      </c>
      <c r="D22" s="691">
        <v>390135.83333333401</v>
      </c>
    </row>
    <row r="23" spans="1:4" ht="24.95" customHeight="1">
      <c r="A23" s="8">
        <v>21</v>
      </c>
      <c r="B23" s="313" t="s">
        <v>79</v>
      </c>
      <c r="C23" s="13" t="s">
        <v>81</v>
      </c>
      <c r="D23" s="691">
        <v>372145.33333333302</v>
      </c>
    </row>
    <row r="24" spans="1:4" ht="24.95" customHeight="1">
      <c r="A24" s="8">
        <v>22</v>
      </c>
      <c r="B24" s="597" t="s">
        <v>82</v>
      </c>
      <c r="C24" s="13" t="s">
        <v>75</v>
      </c>
      <c r="D24" s="691">
        <v>381140.66666666599</v>
      </c>
    </row>
    <row r="25" spans="1:4" ht="24.95" customHeight="1">
      <c r="A25" s="8">
        <v>23</v>
      </c>
      <c r="B25" s="313" t="s">
        <v>84</v>
      </c>
      <c r="C25" s="13" t="s">
        <v>154</v>
      </c>
      <c r="D25" s="691">
        <v>355320.66666666698</v>
      </c>
    </row>
    <row r="26" spans="1:4" ht="24.95" customHeight="1">
      <c r="A26" s="8">
        <v>24</v>
      </c>
      <c r="B26" s="313" t="s">
        <v>87</v>
      </c>
      <c r="C26" s="8" t="s">
        <v>86</v>
      </c>
      <c r="D26" s="691">
        <v>347016.16666666599</v>
      </c>
    </row>
    <row r="27" spans="1:4" ht="24.95" customHeight="1">
      <c r="A27" s="8">
        <v>25</v>
      </c>
      <c r="B27" s="313" t="s">
        <v>89</v>
      </c>
      <c r="C27" s="13" t="s">
        <v>81</v>
      </c>
      <c r="D27" s="691">
        <v>372145.33333333302</v>
      </c>
    </row>
    <row r="28" spans="1:4" ht="24.95" customHeight="1">
      <c r="A28" s="8">
        <v>26</v>
      </c>
      <c r="B28" s="313" t="s">
        <v>91</v>
      </c>
      <c r="C28" s="13" t="s">
        <v>81</v>
      </c>
      <c r="D28" s="691">
        <v>372145.33333333302</v>
      </c>
    </row>
    <row r="29" spans="1:4" ht="24.95" customHeight="1">
      <c r="A29" s="8">
        <v>27</v>
      </c>
      <c r="B29" s="313" t="s">
        <v>93</v>
      </c>
      <c r="C29" s="8" t="s">
        <v>86</v>
      </c>
      <c r="D29" s="691">
        <v>347016.16666666599</v>
      </c>
    </row>
    <row r="30" spans="1:4" ht="24.95" customHeight="1">
      <c r="A30" s="8">
        <v>28</v>
      </c>
      <c r="B30" s="313" t="s">
        <v>95</v>
      </c>
      <c r="C30" s="13" t="s">
        <v>81</v>
      </c>
      <c r="D30" s="691">
        <v>372145.33333333302</v>
      </c>
    </row>
    <row r="31" spans="1:4" ht="24.95" customHeight="1">
      <c r="A31" s="8">
        <v>29</v>
      </c>
      <c r="B31" s="313" t="s">
        <v>97</v>
      </c>
      <c r="C31" s="8" t="s">
        <v>99</v>
      </c>
      <c r="D31" s="691">
        <v>338711.66666666698</v>
      </c>
    </row>
    <row r="32" spans="1:4" ht="24.95" customHeight="1">
      <c r="A32" s="8">
        <v>30</v>
      </c>
      <c r="B32" s="313" t="s">
        <v>100</v>
      </c>
      <c r="C32" s="8" t="s">
        <v>99</v>
      </c>
      <c r="D32" s="691">
        <v>338711.66666666698</v>
      </c>
    </row>
    <row r="33" spans="1:4" ht="24.95" customHeight="1">
      <c r="A33" s="8">
        <v>31</v>
      </c>
      <c r="B33" s="313" t="s">
        <v>101</v>
      </c>
      <c r="C33" s="8" t="s">
        <v>99</v>
      </c>
      <c r="D33" s="691">
        <v>338711.66666666698</v>
      </c>
    </row>
    <row r="34" spans="1:4" ht="24.95" customHeight="1">
      <c r="A34" s="8">
        <v>32</v>
      </c>
      <c r="B34" s="313" t="s">
        <v>102</v>
      </c>
      <c r="C34" s="8" t="s">
        <v>99</v>
      </c>
      <c r="D34" s="691">
        <v>338711.66666666698</v>
      </c>
    </row>
    <row r="35" spans="1:4" ht="24.95" customHeight="1">
      <c r="A35" s="8">
        <v>33</v>
      </c>
      <c r="B35" s="313" t="s">
        <v>103</v>
      </c>
      <c r="C35" s="13" t="s">
        <v>105</v>
      </c>
      <c r="D35" s="691">
        <v>308920.66666666698</v>
      </c>
    </row>
    <row r="36" spans="1:4" ht="24.95" customHeight="1">
      <c r="A36" s="8">
        <v>34</v>
      </c>
      <c r="B36" s="313" t="s">
        <v>106</v>
      </c>
      <c r="C36" s="13" t="s">
        <v>108</v>
      </c>
      <c r="D36" s="955">
        <v>301910.75</v>
      </c>
    </row>
    <row r="37" spans="1:4" ht="24.95" customHeight="1">
      <c r="A37" s="8">
        <v>35</v>
      </c>
      <c r="B37" s="313" t="s">
        <v>109</v>
      </c>
      <c r="C37" s="13" t="s">
        <v>111</v>
      </c>
      <c r="D37" s="691">
        <v>294900.83333333401</v>
      </c>
    </row>
    <row r="38" spans="1:4" ht="24.95" customHeight="1">
      <c r="A38" s="8">
        <v>36</v>
      </c>
      <c r="B38" s="313" t="s">
        <v>112</v>
      </c>
      <c r="C38" s="13" t="s">
        <v>111</v>
      </c>
      <c r="D38" s="691">
        <v>294900.83333333401</v>
      </c>
    </row>
    <row r="39" spans="1:4" ht="24.95" customHeight="1">
      <c r="A39" s="8">
        <v>37</v>
      </c>
      <c r="B39" s="313" t="s">
        <v>114</v>
      </c>
      <c r="C39" s="13" t="s">
        <v>111</v>
      </c>
      <c r="D39" s="691">
        <v>294900.83333333401</v>
      </c>
    </row>
    <row r="40" spans="1:4" ht="24.95" customHeight="1">
      <c r="A40" s="8">
        <v>38</v>
      </c>
      <c r="B40" s="313" t="s">
        <v>115</v>
      </c>
      <c r="C40" s="13" t="s">
        <v>111</v>
      </c>
      <c r="D40" s="691">
        <v>294900.83333333401</v>
      </c>
    </row>
    <row r="41" spans="1:4" ht="24.95" customHeight="1">
      <c r="A41" s="8">
        <v>39</v>
      </c>
      <c r="B41" s="313" t="s">
        <v>117</v>
      </c>
      <c r="C41" s="13" t="s">
        <v>111</v>
      </c>
      <c r="D41" s="691">
        <v>294900.83333333401</v>
      </c>
    </row>
    <row r="42" spans="1:4" ht="24.95" customHeight="1">
      <c r="A42" s="8">
        <v>40</v>
      </c>
      <c r="B42" s="313" t="s">
        <v>118</v>
      </c>
      <c r="C42" s="13" t="s">
        <v>111</v>
      </c>
      <c r="D42" s="691">
        <v>294900.83333333401</v>
      </c>
    </row>
    <row r="43" spans="1:4" ht="24.95" customHeight="1">
      <c r="A43" s="8"/>
      <c r="B43" s="809" t="s">
        <v>120</v>
      </c>
      <c r="C43" s="13"/>
      <c r="D43" s="811">
        <f>SUM(D3:D42)</f>
        <v>20529917.5</v>
      </c>
    </row>
    <row r="44" spans="1:4" ht="24.95" customHeight="1">
      <c r="A44" s="8"/>
      <c r="B44" s="812"/>
      <c r="C44" s="13"/>
      <c r="D44" s="811"/>
    </row>
    <row r="45" spans="1:4" ht="24.95" customHeight="1">
      <c r="A45" s="8"/>
      <c r="B45" s="809" t="s">
        <v>121</v>
      </c>
      <c r="C45" s="13"/>
      <c r="D45" s="691"/>
    </row>
    <row r="46" spans="1:4" ht="24.95" customHeight="1">
      <c r="A46" s="8">
        <v>1</v>
      </c>
      <c r="B46" s="313" t="s">
        <v>122</v>
      </c>
      <c r="C46" s="8" t="s">
        <v>124</v>
      </c>
      <c r="D46" s="691">
        <v>1747106.41666666</v>
      </c>
    </row>
    <row r="47" spans="1:4" ht="24.95" customHeight="1">
      <c r="A47" s="8">
        <v>2</v>
      </c>
      <c r="B47" s="597" t="s">
        <v>125</v>
      </c>
      <c r="C47" s="13" t="s">
        <v>50</v>
      </c>
      <c r="D47" s="691">
        <v>722595.5</v>
      </c>
    </row>
    <row r="48" spans="1:4" ht="24.95" customHeight="1">
      <c r="A48" s="8">
        <v>3</v>
      </c>
      <c r="B48" s="313" t="s">
        <v>127</v>
      </c>
      <c r="C48" s="8" t="s">
        <v>78</v>
      </c>
      <c r="D48" s="691">
        <v>390135.83333333401</v>
      </c>
    </row>
    <row r="49" spans="1:4" ht="24.95" customHeight="1">
      <c r="A49" s="8">
        <v>4</v>
      </c>
      <c r="B49" s="597" t="s">
        <v>129</v>
      </c>
      <c r="C49" s="13" t="s">
        <v>131</v>
      </c>
      <c r="D49" s="692">
        <v>454993.58333333302</v>
      </c>
    </row>
    <row r="50" spans="1:4" ht="24.95" customHeight="1">
      <c r="A50" s="8">
        <v>5</v>
      </c>
      <c r="B50" s="313" t="s">
        <v>132</v>
      </c>
      <c r="C50" s="13" t="s">
        <v>99</v>
      </c>
      <c r="D50" s="691">
        <v>338711.66666666698</v>
      </c>
    </row>
    <row r="51" spans="1:4" ht="24.95" customHeight="1">
      <c r="A51" s="8">
        <v>6</v>
      </c>
      <c r="B51" s="597" t="s">
        <v>133</v>
      </c>
      <c r="C51" s="13" t="s">
        <v>86</v>
      </c>
      <c r="D51" s="955">
        <v>347016.16666666599</v>
      </c>
    </row>
    <row r="52" spans="1:4" ht="24.95" customHeight="1">
      <c r="A52" s="8">
        <v>7</v>
      </c>
      <c r="B52" s="313" t="s">
        <v>135</v>
      </c>
      <c r="C52" s="13" t="s">
        <v>111</v>
      </c>
      <c r="D52" s="691">
        <v>294900.83333333401</v>
      </c>
    </row>
    <row r="53" spans="1:4" ht="24.95" customHeight="1">
      <c r="A53" s="8"/>
      <c r="B53" s="593"/>
      <c r="C53" s="8"/>
      <c r="D53" s="811">
        <f>SUM(D46:D52)</f>
        <v>4295459.9999999898</v>
      </c>
    </row>
    <row r="54" spans="1:4" ht="24.95" customHeight="1">
      <c r="A54" s="8"/>
      <c r="B54" s="593"/>
      <c r="C54" s="8"/>
      <c r="D54" s="811"/>
    </row>
    <row r="55" spans="1:4" ht="24.95" customHeight="1">
      <c r="A55" s="8"/>
      <c r="B55" s="814" t="s">
        <v>137</v>
      </c>
      <c r="C55" s="22"/>
      <c r="D55" s="811"/>
    </row>
    <row r="56" spans="1:4" ht="24.95" customHeight="1">
      <c r="A56" s="8">
        <v>1</v>
      </c>
      <c r="B56" s="597" t="s">
        <v>138</v>
      </c>
      <c r="C56" s="8" t="s">
        <v>140</v>
      </c>
      <c r="D56" s="691">
        <v>1697359.33333333</v>
      </c>
    </row>
    <row r="57" spans="1:4" ht="24.95" customHeight="1">
      <c r="A57" s="8">
        <v>2</v>
      </c>
      <c r="B57" s="597" t="s">
        <v>141</v>
      </c>
      <c r="C57" s="8" t="s">
        <v>39</v>
      </c>
      <c r="D57" s="691">
        <v>744477</v>
      </c>
    </row>
    <row r="58" spans="1:4" ht="24.95" customHeight="1">
      <c r="A58" s="8">
        <v>3</v>
      </c>
      <c r="B58" s="597" t="s">
        <v>143</v>
      </c>
      <c r="C58" s="8" t="s">
        <v>39</v>
      </c>
      <c r="D58" s="691">
        <v>744477</v>
      </c>
    </row>
    <row r="59" spans="1:4" ht="24.95" customHeight="1">
      <c r="A59" s="8">
        <v>4</v>
      </c>
      <c r="B59" s="597" t="s">
        <v>144</v>
      </c>
      <c r="C59" s="8" t="s">
        <v>39</v>
      </c>
      <c r="D59" s="691">
        <v>744477</v>
      </c>
    </row>
    <row r="60" spans="1:4" ht="24.95" customHeight="1">
      <c r="A60" s="8">
        <v>5</v>
      </c>
      <c r="B60" s="593" t="s">
        <v>145</v>
      </c>
      <c r="C60" s="8" t="s">
        <v>50</v>
      </c>
      <c r="D60" s="691">
        <v>722595.5</v>
      </c>
    </row>
    <row r="61" spans="1:4" ht="24.95" customHeight="1">
      <c r="A61" s="8">
        <v>6</v>
      </c>
      <c r="B61" s="593" t="s">
        <v>146</v>
      </c>
      <c r="C61" s="8" t="s">
        <v>50</v>
      </c>
      <c r="D61" s="691">
        <v>722595.5</v>
      </c>
    </row>
    <row r="62" spans="1:4" ht="24.95" customHeight="1">
      <c r="A62" s="8">
        <v>7</v>
      </c>
      <c r="B62" s="313" t="s">
        <v>147</v>
      </c>
      <c r="C62" s="13" t="s">
        <v>131</v>
      </c>
      <c r="D62" s="692">
        <v>454993.58333333302</v>
      </c>
    </row>
    <row r="63" spans="1:4" ht="24.95" customHeight="1">
      <c r="A63" s="8">
        <v>8</v>
      </c>
      <c r="B63" s="597" t="s">
        <v>149</v>
      </c>
      <c r="C63" s="8" t="s">
        <v>151</v>
      </c>
      <c r="D63" s="691">
        <v>399131.16666666698</v>
      </c>
    </row>
    <row r="64" spans="1:4" ht="24.95" customHeight="1">
      <c r="A64" s="8">
        <v>9</v>
      </c>
      <c r="B64" s="597" t="s">
        <v>152</v>
      </c>
      <c r="C64" s="8" t="s">
        <v>75</v>
      </c>
      <c r="D64" s="691">
        <v>381140.66666666599</v>
      </c>
    </row>
    <row r="65" spans="1:4" ht="24.95" customHeight="1">
      <c r="A65" s="8">
        <v>10</v>
      </c>
      <c r="B65" s="597" t="s">
        <v>153</v>
      </c>
      <c r="C65" s="8" t="s">
        <v>154</v>
      </c>
      <c r="D65" s="691">
        <v>355320.66666666698</v>
      </c>
    </row>
    <row r="66" spans="1:4" ht="24.95" customHeight="1">
      <c r="A66" s="8">
        <v>11</v>
      </c>
      <c r="B66" s="597" t="s">
        <v>155</v>
      </c>
      <c r="C66" s="8" t="s">
        <v>154</v>
      </c>
      <c r="D66" s="691">
        <v>355320.66666666698</v>
      </c>
    </row>
    <row r="67" spans="1:4" ht="24.95" customHeight="1">
      <c r="A67" s="8">
        <v>12</v>
      </c>
      <c r="B67" s="313" t="s">
        <v>156</v>
      </c>
      <c r="C67" s="8" t="s">
        <v>99</v>
      </c>
      <c r="D67" s="691">
        <v>338711.66666666698</v>
      </c>
    </row>
    <row r="68" spans="1:4" ht="24.95" customHeight="1">
      <c r="A68" s="8"/>
      <c r="B68" s="809" t="s">
        <v>120</v>
      </c>
      <c r="C68" s="19"/>
      <c r="D68" s="821">
        <f>SUM(D56:D67)</f>
        <v>7660599.75</v>
      </c>
    </row>
    <row r="69" spans="1:4" ht="24.95" customHeight="1">
      <c r="A69" s="8"/>
      <c r="B69" s="812"/>
      <c r="C69" s="19"/>
      <c r="D69" s="956"/>
    </row>
    <row r="70" spans="1:4" ht="24.95" customHeight="1">
      <c r="A70" s="8"/>
      <c r="B70" s="809" t="s">
        <v>157</v>
      </c>
      <c r="C70" s="19"/>
      <c r="D70" s="956"/>
    </row>
    <row r="71" spans="1:4" ht="24.95" customHeight="1">
      <c r="A71" s="8">
        <v>1</v>
      </c>
      <c r="B71" s="597" t="s">
        <v>158</v>
      </c>
      <c r="C71" s="13" t="s">
        <v>124</v>
      </c>
      <c r="D71" s="691">
        <v>1747106.41666666</v>
      </c>
    </row>
    <row r="72" spans="1:4" ht="24.95" customHeight="1">
      <c r="A72" s="8">
        <v>2</v>
      </c>
      <c r="B72" s="597" t="s">
        <v>160</v>
      </c>
      <c r="C72" s="13" t="s">
        <v>162</v>
      </c>
      <c r="D72" s="691">
        <v>744477</v>
      </c>
    </row>
    <row r="73" spans="1:4" ht="24.95" customHeight="1">
      <c r="A73" s="8"/>
      <c r="B73" s="809" t="s">
        <v>120</v>
      </c>
      <c r="C73" s="19"/>
      <c r="D73" s="821">
        <f>SUM(D71:D72)</f>
        <v>2491583.41666666</v>
      </c>
    </row>
    <row r="74" spans="1:4" ht="24.95" customHeight="1">
      <c r="A74" s="8"/>
      <c r="B74" s="809"/>
      <c r="C74" s="19"/>
      <c r="D74" s="956"/>
    </row>
    <row r="75" spans="1:4" ht="24.95" customHeight="1">
      <c r="A75" s="8"/>
      <c r="B75" s="809" t="s">
        <v>163</v>
      </c>
      <c r="C75" s="19"/>
      <c r="D75" s="956"/>
    </row>
    <row r="76" spans="1:4" ht="24.95" customHeight="1">
      <c r="A76" s="8">
        <v>1</v>
      </c>
      <c r="B76" s="593" t="s">
        <v>164</v>
      </c>
      <c r="C76" s="8" t="s">
        <v>36</v>
      </c>
      <c r="D76" s="691">
        <v>905306.75</v>
      </c>
    </row>
    <row r="77" spans="1:4" ht="24.95" customHeight="1">
      <c r="A77" s="8">
        <v>2</v>
      </c>
      <c r="B77" s="597" t="s">
        <v>166</v>
      </c>
      <c r="C77" s="8" t="s">
        <v>47</v>
      </c>
      <c r="D77" s="691">
        <v>573911.08333333395</v>
      </c>
    </row>
    <row r="78" spans="1:4" ht="24.95" customHeight="1">
      <c r="A78" s="8">
        <v>3</v>
      </c>
      <c r="B78" s="313" t="s">
        <v>167</v>
      </c>
      <c r="C78" s="13" t="s">
        <v>64</v>
      </c>
      <c r="D78" s="691">
        <v>497472.75</v>
      </c>
    </row>
    <row r="79" spans="1:4" ht="24.95" customHeight="1">
      <c r="A79" s="8">
        <v>4</v>
      </c>
      <c r="B79" s="313" t="s">
        <v>169</v>
      </c>
      <c r="C79" s="13" t="s">
        <v>64</v>
      </c>
      <c r="D79" s="691">
        <v>497472.75</v>
      </c>
    </row>
    <row r="80" spans="1:4" ht="24.95" customHeight="1">
      <c r="A80" s="8">
        <v>5</v>
      </c>
      <c r="B80" s="597" t="s">
        <v>170</v>
      </c>
      <c r="C80" s="8" t="s">
        <v>172</v>
      </c>
      <c r="D80" s="691">
        <v>482662.66666666698</v>
      </c>
    </row>
    <row r="81" spans="1:4" ht="24.95" customHeight="1">
      <c r="A81" s="8">
        <v>6</v>
      </c>
      <c r="B81" s="597" t="s">
        <v>171</v>
      </c>
      <c r="C81" s="8" t="s">
        <v>172</v>
      </c>
      <c r="D81" s="691">
        <v>482662.66666666698</v>
      </c>
    </row>
    <row r="82" spans="1:4" ht="24.95" customHeight="1">
      <c r="A82" s="8">
        <v>7</v>
      </c>
      <c r="B82" s="597" t="s">
        <v>173</v>
      </c>
      <c r="C82" s="8" t="s">
        <v>172</v>
      </c>
      <c r="D82" s="691">
        <v>482662.66666666698</v>
      </c>
    </row>
    <row r="83" spans="1:4" ht="24.95" customHeight="1">
      <c r="A83" s="8">
        <v>8</v>
      </c>
      <c r="B83" s="597" t="s">
        <v>174</v>
      </c>
      <c r="C83" s="13" t="s">
        <v>67</v>
      </c>
      <c r="D83" s="691">
        <v>482846.58333333302</v>
      </c>
    </row>
    <row r="84" spans="1:4" ht="24.95" customHeight="1">
      <c r="A84" s="8">
        <v>9</v>
      </c>
      <c r="B84" s="593" t="s">
        <v>176</v>
      </c>
      <c r="C84" s="8" t="s">
        <v>131</v>
      </c>
      <c r="D84" s="691">
        <v>454993.58333333302</v>
      </c>
    </row>
    <row r="85" spans="1:4" ht="24.95" customHeight="1">
      <c r="A85" s="8">
        <v>10</v>
      </c>
      <c r="B85" s="597" t="s">
        <v>178</v>
      </c>
      <c r="C85" s="8" t="s">
        <v>151</v>
      </c>
      <c r="D85" s="692">
        <v>399131.16666666698</v>
      </c>
    </row>
    <row r="86" spans="1:4" ht="24.95" customHeight="1">
      <c r="A86" s="8">
        <v>11</v>
      </c>
      <c r="B86" s="313" t="s">
        <v>180</v>
      </c>
      <c r="C86" s="8" t="s">
        <v>99</v>
      </c>
      <c r="D86" s="691">
        <v>338711.66666666698</v>
      </c>
    </row>
    <row r="87" spans="1:4" ht="24.95" customHeight="1">
      <c r="A87" s="8"/>
      <c r="B87" s="809" t="s">
        <v>120</v>
      </c>
      <c r="C87" s="19"/>
      <c r="D87" s="821">
        <f>SUM(D76:D86)</f>
        <v>5597834.3333333302</v>
      </c>
    </row>
    <row r="88" spans="1:4" ht="24.95" customHeight="1">
      <c r="A88" s="8"/>
      <c r="B88" s="812"/>
      <c r="C88" s="19"/>
      <c r="D88" s="956"/>
    </row>
    <row r="89" spans="1:4" ht="24.95" customHeight="1">
      <c r="A89" s="8"/>
      <c r="B89" s="809" t="s">
        <v>182</v>
      </c>
      <c r="C89" s="19"/>
      <c r="D89" s="956"/>
    </row>
    <row r="90" spans="1:4" ht="24.95" customHeight="1">
      <c r="A90" s="8">
        <v>1</v>
      </c>
      <c r="B90" s="597" t="s">
        <v>183</v>
      </c>
      <c r="C90" s="8" t="s">
        <v>124</v>
      </c>
      <c r="D90" s="691">
        <v>1747106.41666666</v>
      </c>
    </row>
    <row r="91" spans="1:4" ht="24.95" customHeight="1">
      <c r="A91" s="8">
        <v>2</v>
      </c>
      <c r="B91" s="597" t="s">
        <v>185</v>
      </c>
      <c r="C91" s="8" t="s">
        <v>50</v>
      </c>
      <c r="D91" s="691">
        <v>722595.5</v>
      </c>
    </row>
    <row r="92" spans="1:4" ht="24.95" customHeight="1">
      <c r="A92" s="8">
        <v>3</v>
      </c>
      <c r="B92" s="597" t="s">
        <v>187</v>
      </c>
      <c r="C92" s="8" t="s">
        <v>50</v>
      </c>
      <c r="D92" s="691">
        <v>722595.5</v>
      </c>
    </row>
    <row r="93" spans="1:4" ht="24.95" customHeight="1">
      <c r="A93" s="8">
        <v>4</v>
      </c>
      <c r="B93" s="597" t="s">
        <v>189</v>
      </c>
      <c r="C93" s="13" t="s">
        <v>191</v>
      </c>
      <c r="D93" s="691">
        <v>589657</v>
      </c>
    </row>
    <row r="94" spans="1:4" ht="24.95" customHeight="1">
      <c r="A94" s="8">
        <v>5</v>
      </c>
      <c r="B94" s="597" t="s">
        <v>192</v>
      </c>
      <c r="C94" s="13" t="s">
        <v>64</v>
      </c>
      <c r="D94" s="691">
        <v>497472.75</v>
      </c>
    </row>
    <row r="95" spans="1:4" ht="24.95" customHeight="1">
      <c r="A95" s="8">
        <v>6</v>
      </c>
      <c r="B95" s="597" t="s">
        <v>194</v>
      </c>
      <c r="C95" s="13" t="s">
        <v>64</v>
      </c>
      <c r="D95" s="691">
        <v>497472.75</v>
      </c>
    </row>
    <row r="96" spans="1:4" ht="24.95" customHeight="1">
      <c r="A96" s="8">
        <v>7</v>
      </c>
      <c r="B96" s="597" t="s">
        <v>196</v>
      </c>
      <c r="C96" s="8" t="s">
        <v>70</v>
      </c>
      <c r="D96" s="691">
        <v>468828.16666666698</v>
      </c>
    </row>
    <row r="97" spans="1:4" ht="24.95" customHeight="1">
      <c r="A97" s="8">
        <v>8</v>
      </c>
      <c r="B97" s="597" t="s">
        <v>198</v>
      </c>
      <c r="C97" s="8" t="s">
        <v>75</v>
      </c>
      <c r="D97" s="691">
        <v>381140.66666666599</v>
      </c>
    </row>
    <row r="98" spans="1:4" ht="24.95" customHeight="1">
      <c r="A98" s="8">
        <v>9</v>
      </c>
      <c r="B98" s="597" t="s">
        <v>200</v>
      </c>
      <c r="C98" s="8" t="s">
        <v>86</v>
      </c>
      <c r="D98" s="691">
        <v>347016.16666666599</v>
      </c>
    </row>
    <row r="99" spans="1:4" ht="24.95" customHeight="1">
      <c r="A99" s="8">
        <v>10</v>
      </c>
      <c r="B99" s="313" t="s">
        <v>201</v>
      </c>
      <c r="C99" s="8" t="s">
        <v>99</v>
      </c>
      <c r="D99" s="691">
        <v>338711.66666666698</v>
      </c>
    </row>
    <row r="100" spans="1:4" ht="24.95" customHeight="1">
      <c r="A100" s="8">
        <v>11</v>
      </c>
      <c r="B100" s="597" t="s">
        <v>202</v>
      </c>
      <c r="C100" s="8" t="s">
        <v>105</v>
      </c>
      <c r="D100" s="691">
        <v>308920.66666666698</v>
      </c>
    </row>
    <row r="101" spans="1:4" ht="24.95" customHeight="1">
      <c r="A101" s="8"/>
      <c r="B101" s="809" t="s">
        <v>120</v>
      </c>
      <c r="C101" s="19"/>
      <c r="D101" s="821">
        <f>SUM(D90:D100)</f>
        <v>6621517.2499999898</v>
      </c>
    </row>
    <row r="102" spans="1:4" ht="24.95" customHeight="1">
      <c r="A102" s="8"/>
      <c r="B102" s="809"/>
      <c r="C102" s="19"/>
      <c r="D102" s="956"/>
    </row>
    <row r="103" spans="1:4" ht="24.95" customHeight="1">
      <c r="A103" s="8"/>
      <c r="B103" s="809" t="s">
        <v>204</v>
      </c>
      <c r="C103" s="19"/>
      <c r="D103" s="956"/>
    </row>
    <row r="104" spans="1:4" ht="24.95" customHeight="1">
      <c r="A104" s="8">
        <v>1</v>
      </c>
      <c r="B104" s="597" t="s">
        <v>205</v>
      </c>
      <c r="C104" s="8" t="s">
        <v>140</v>
      </c>
      <c r="D104" s="691">
        <v>1697359.33333333</v>
      </c>
    </row>
    <row r="105" spans="1:4" ht="24.95" customHeight="1">
      <c r="A105" s="8">
        <v>2</v>
      </c>
      <c r="B105" s="597" t="s">
        <v>207</v>
      </c>
      <c r="C105" s="8" t="s">
        <v>209</v>
      </c>
      <c r="D105" s="691">
        <v>879008.91666666698</v>
      </c>
    </row>
    <row r="106" spans="1:4" ht="24.95" customHeight="1">
      <c r="A106" s="8">
        <v>3</v>
      </c>
      <c r="B106" s="597" t="s">
        <v>210</v>
      </c>
      <c r="C106" s="8" t="s">
        <v>39</v>
      </c>
      <c r="D106" s="691">
        <v>744477</v>
      </c>
    </row>
    <row r="107" spans="1:4" ht="24.95" customHeight="1">
      <c r="A107" s="8">
        <v>4</v>
      </c>
      <c r="B107" s="597" t="s">
        <v>211</v>
      </c>
      <c r="C107" s="13" t="s">
        <v>47</v>
      </c>
      <c r="D107" s="691">
        <v>573911.08333333395</v>
      </c>
    </row>
    <row r="108" spans="1:4" ht="24.95" customHeight="1">
      <c r="A108" s="8">
        <v>5</v>
      </c>
      <c r="B108" s="597" t="s">
        <v>212</v>
      </c>
      <c r="C108" s="13" t="s">
        <v>47</v>
      </c>
      <c r="D108" s="691">
        <v>573911.08333333395</v>
      </c>
    </row>
    <row r="109" spans="1:4" ht="24.95" customHeight="1">
      <c r="A109" s="8">
        <v>6</v>
      </c>
      <c r="B109" s="597" t="s">
        <v>213</v>
      </c>
      <c r="C109" s="13" t="s">
        <v>214</v>
      </c>
      <c r="D109" s="691">
        <v>558166.25</v>
      </c>
    </row>
    <row r="110" spans="1:4" ht="24.95" customHeight="1">
      <c r="A110" s="8">
        <v>7</v>
      </c>
      <c r="B110" s="597" t="s">
        <v>215</v>
      </c>
      <c r="C110" s="13" t="s">
        <v>172</v>
      </c>
      <c r="D110" s="691">
        <v>482662.66666666698</v>
      </c>
    </row>
    <row r="111" spans="1:4" ht="24.95" customHeight="1">
      <c r="A111" s="8">
        <v>8</v>
      </c>
      <c r="B111" s="597" t="s">
        <v>216</v>
      </c>
      <c r="C111" s="13" t="s">
        <v>218</v>
      </c>
      <c r="D111" s="691">
        <v>512098.91666666698</v>
      </c>
    </row>
    <row r="112" spans="1:4" ht="24.95" customHeight="1">
      <c r="A112" s="8">
        <v>9</v>
      </c>
      <c r="B112" s="313" t="s">
        <v>219</v>
      </c>
      <c r="C112" s="13" t="s">
        <v>131</v>
      </c>
      <c r="D112" s="692">
        <v>454993.58333333302</v>
      </c>
    </row>
    <row r="113" spans="1:4" ht="24.95" customHeight="1">
      <c r="A113" s="8">
        <v>10</v>
      </c>
      <c r="B113" s="597" t="s">
        <v>220</v>
      </c>
      <c r="C113" s="8" t="s">
        <v>151</v>
      </c>
      <c r="D113" s="692">
        <v>399131.16666666698</v>
      </c>
    </row>
    <row r="114" spans="1:4" ht="24.95" customHeight="1">
      <c r="A114" s="8">
        <v>11</v>
      </c>
      <c r="B114" s="313" t="s">
        <v>222</v>
      </c>
      <c r="C114" s="8" t="s">
        <v>99</v>
      </c>
      <c r="D114" s="691">
        <v>338711.66666666698</v>
      </c>
    </row>
    <row r="115" spans="1:4" ht="24.95" customHeight="1">
      <c r="A115" s="8">
        <v>12</v>
      </c>
      <c r="B115" s="313" t="s">
        <v>223</v>
      </c>
      <c r="C115" s="8" t="s">
        <v>99</v>
      </c>
      <c r="D115" s="691">
        <v>338711.66666666698</v>
      </c>
    </row>
    <row r="116" spans="1:4" ht="24.95" customHeight="1">
      <c r="A116" s="8">
        <v>13</v>
      </c>
      <c r="B116" s="597" t="s">
        <v>224</v>
      </c>
      <c r="C116" s="13" t="s">
        <v>517</v>
      </c>
      <c r="D116" s="692">
        <v>315930.58333333302</v>
      </c>
    </row>
    <row r="117" spans="1:4" ht="24.95" customHeight="1">
      <c r="A117" s="8"/>
      <c r="B117" s="809" t="s">
        <v>120</v>
      </c>
      <c r="C117" s="19"/>
      <c r="D117" s="821">
        <f>SUM(D104:D116)</f>
        <v>7869073.9166666698</v>
      </c>
    </row>
    <row r="118" spans="1:4" ht="24.95" customHeight="1">
      <c r="A118" s="8"/>
      <c r="B118" s="812"/>
      <c r="C118" s="19"/>
      <c r="D118" s="956"/>
    </row>
    <row r="119" spans="1:4" ht="24.95" customHeight="1">
      <c r="A119" s="8"/>
      <c r="B119" s="809" t="s">
        <v>226</v>
      </c>
      <c r="C119" s="19"/>
      <c r="D119" s="956"/>
    </row>
    <row r="120" spans="1:4" ht="24.95" customHeight="1">
      <c r="A120" s="8">
        <v>1</v>
      </c>
      <c r="B120" s="593" t="s">
        <v>227</v>
      </c>
      <c r="C120" s="14" t="s">
        <v>124</v>
      </c>
      <c r="D120" s="691">
        <v>1747106.41666666</v>
      </c>
    </row>
    <row r="121" spans="1:4" ht="24.95" customHeight="1">
      <c r="A121" s="8">
        <v>2</v>
      </c>
      <c r="B121" s="597" t="s">
        <v>229</v>
      </c>
      <c r="C121" s="13" t="s">
        <v>191</v>
      </c>
      <c r="D121" s="691">
        <v>589657</v>
      </c>
    </row>
    <row r="122" spans="1:4" ht="24.95" customHeight="1">
      <c r="A122" s="8">
        <v>3</v>
      </c>
      <c r="B122" s="597" t="s">
        <v>231</v>
      </c>
      <c r="C122" s="13" t="s">
        <v>218</v>
      </c>
      <c r="D122" s="691">
        <v>512098.91666666698</v>
      </c>
    </row>
    <row r="123" spans="1:4" ht="24.95" customHeight="1">
      <c r="A123" s="8">
        <v>4</v>
      </c>
      <c r="B123" s="597" t="s">
        <v>233</v>
      </c>
      <c r="C123" s="13" t="s">
        <v>64</v>
      </c>
      <c r="D123" s="691">
        <v>497472.75</v>
      </c>
    </row>
    <row r="124" spans="1:4" ht="24.95" customHeight="1">
      <c r="A124" s="8">
        <v>5</v>
      </c>
      <c r="B124" s="597" t="s">
        <v>235</v>
      </c>
      <c r="C124" s="13" t="s">
        <v>64</v>
      </c>
      <c r="D124" s="691">
        <v>497472.75</v>
      </c>
    </row>
    <row r="125" spans="1:4" ht="24.95" customHeight="1">
      <c r="A125" s="8">
        <v>6</v>
      </c>
      <c r="B125" s="597" t="s">
        <v>236</v>
      </c>
      <c r="C125" s="13" t="s">
        <v>151</v>
      </c>
      <c r="D125" s="692">
        <v>399131.16666666698</v>
      </c>
    </row>
    <row r="126" spans="1:4" ht="24.95" customHeight="1">
      <c r="A126" s="8">
        <v>7</v>
      </c>
      <c r="B126" s="313" t="s">
        <v>237</v>
      </c>
      <c r="C126" s="13" t="s">
        <v>75</v>
      </c>
      <c r="D126" s="691">
        <v>381140.66666666599</v>
      </c>
    </row>
    <row r="127" spans="1:4" ht="24.95" customHeight="1">
      <c r="A127" s="2"/>
      <c r="B127" s="809" t="s">
        <v>120</v>
      </c>
      <c r="C127" s="24"/>
      <c r="D127" s="821">
        <f>SUM(D120:D126)</f>
        <v>4624079.6666666605</v>
      </c>
    </row>
    <row r="128" spans="1:4" ht="24.95" customHeight="1">
      <c r="A128" s="2"/>
      <c r="B128" s="812"/>
      <c r="C128" s="24"/>
      <c r="D128" s="956"/>
    </row>
    <row r="129" spans="1:4" ht="24.95" customHeight="1">
      <c r="A129" s="2"/>
      <c r="B129" s="809" t="s">
        <v>239</v>
      </c>
      <c r="C129" s="2"/>
      <c r="D129" s="725"/>
    </row>
    <row r="130" spans="1:4" ht="24.95" customHeight="1">
      <c r="A130" s="2">
        <v>1</v>
      </c>
      <c r="B130" s="597" t="s">
        <v>240</v>
      </c>
      <c r="C130" s="13" t="s">
        <v>124</v>
      </c>
      <c r="D130" s="691">
        <v>1747106.41666666</v>
      </c>
    </row>
    <row r="131" spans="1:4" ht="24.95" customHeight="1">
      <c r="A131" s="2">
        <v>2</v>
      </c>
      <c r="B131" s="597" t="s">
        <v>242</v>
      </c>
      <c r="C131" s="14" t="s">
        <v>36</v>
      </c>
      <c r="D131" s="691">
        <v>905306.75</v>
      </c>
    </row>
    <row r="132" spans="1:4" ht="24.95" customHeight="1">
      <c r="A132" s="2">
        <v>3</v>
      </c>
      <c r="B132" s="597" t="s">
        <v>244</v>
      </c>
      <c r="C132" s="8" t="s">
        <v>214</v>
      </c>
      <c r="D132" s="691">
        <v>558165.25</v>
      </c>
    </row>
    <row r="133" spans="1:4" ht="24.95" customHeight="1">
      <c r="A133" s="2">
        <v>4</v>
      </c>
      <c r="B133" s="597" t="s">
        <v>246</v>
      </c>
      <c r="C133" s="8" t="s">
        <v>214</v>
      </c>
      <c r="D133" s="691">
        <v>558165.25</v>
      </c>
    </row>
    <row r="134" spans="1:4" ht="24.95" customHeight="1">
      <c r="A134" s="2">
        <v>5</v>
      </c>
      <c r="B134" s="313" t="s">
        <v>247</v>
      </c>
      <c r="C134" s="13" t="s">
        <v>131</v>
      </c>
      <c r="D134" s="692">
        <v>454993.58333333302</v>
      </c>
    </row>
    <row r="135" spans="1:4" ht="24.95" customHeight="1">
      <c r="A135" s="2">
        <v>6</v>
      </c>
      <c r="B135" s="597" t="s">
        <v>249</v>
      </c>
      <c r="C135" s="13" t="s">
        <v>251</v>
      </c>
      <c r="D135" s="692">
        <v>336960.16666666698</v>
      </c>
    </row>
    <row r="136" spans="1:4" ht="24.95" customHeight="1">
      <c r="A136" s="2">
        <v>7</v>
      </c>
      <c r="B136" s="313" t="s">
        <v>252</v>
      </c>
      <c r="C136" s="8" t="s">
        <v>99</v>
      </c>
      <c r="D136" s="692">
        <v>338711.66666666698</v>
      </c>
    </row>
    <row r="137" spans="1:4" ht="24.95" customHeight="1">
      <c r="A137" s="2">
        <v>8</v>
      </c>
      <c r="B137" s="313" t="s">
        <v>253</v>
      </c>
      <c r="C137" s="13" t="s">
        <v>517</v>
      </c>
      <c r="D137" s="692">
        <v>315930.58333333302</v>
      </c>
    </row>
    <row r="138" spans="1:4" ht="24.95" customHeight="1">
      <c r="A138" s="2">
        <v>9</v>
      </c>
      <c r="B138" s="313" t="s">
        <v>254</v>
      </c>
      <c r="C138" s="13" t="s">
        <v>111</v>
      </c>
      <c r="D138" s="691">
        <v>294900.83333333401</v>
      </c>
    </row>
    <row r="139" spans="1:4" ht="24.95" customHeight="1">
      <c r="A139" s="2">
        <v>10</v>
      </c>
      <c r="B139" s="313" t="s">
        <v>255</v>
      </c>
      <c r="C139" s="13" t="s">
        <v>111</v>
      </c>
      <c r="D139" s="691">
        <v>294900.83333333401</v>
      </c>
    </row>
    <row r="140" spans="1:4" ht="24.95" customHeight="1">
      <c r="A140" s="2">
        <v>11</v>
      </c>
      <c r="B140" s="313" t="s">
        <v>256</v>
      </c>
      <c r="C140" s="13" t="s">
        <v>111</v>
      </c>
      <c r="D140" s="691">
        <v>294900.83333333401</v>
      </c>
    </row>
    <row r="141" spans="1:4" ht="24.95" customHeight="1">
      <c r="A141" s="2"/>
      <c r="B141" s="809" t="s">
        <v>120</v>
      </c>
      <c r="C141" s="2"/>
      <c r="D141" s="957">
        <f>SUM(D130:D140)</f>
        <v>6100042.1666666605</v>
      </c>
    </row>
    <row r="142" spans="1:4" ht="24.95" customHeight="1">
      <c r="A142" s="2"/>
      <c r="B142" s="809"/>
      <c r="C142" s="2"/>
      <c r="D142" s="957"/>
    </row>
    <row r="143" spans="1:4" ht="24.95" customHeight="1">
      <c r="A143" s="8"/>
      <c r="B143" s="809" t="s">
        <v>257</v>
      </c>
      <c r="C143" s="19"/>
      <c r="D143" s="956"/>
    </row>
    <row r="144" spans="1:4" ht="24.95" customHeight="1">
      <c r="A144" s="8">
        <v>1</v>
      </c>
      <c r="B144" s="597" t="s">
        <v>258</v>
      </c>
      <c r="C144" s="8" t="s">
        <v>50</v>
      </c>
      <c r="D144" s="691">
        <v>722595.5</v>
      </c>
    </row>
    <row r="145" spans="1:4" ht="24.95" customHeight="1">
      <c r="A145" s="8">
        <v>2</v>
      </c>
      <c r="B145" s="597" t="s">
        <v>259</v>
      </c>
      <c r="C145" s="13" t="s">
        <v>261</v>
      </c>
      <c r="D145" s="691">
        <v>496497.16666666698</v>
      </c>
    </row>
    <row r="146" spans="1:4" ht="24.95" customHeight="1">
      <c r="A146" s="8">
        <v>3</v>
      </c>
      <c r="B146" s="597" t="s">
        <v>484</v>
      </c>
      <c r="C146" s="13" t="s">
        <v>70</v>
      </c>
      <c r="D146" s="691">
        <v>468828.16666666698</v>
      </c>
    </row>
    <row r="147" spans="1:4" ht="24.95" customHeight="1">
      <c r="A147" s="8">
        <v>4</v>
      </c>
      <c r="B147" s="313" t="s">
        <v>262</v>
      </c>
      <c r="C147" s="8" t="s">
        <v>99</v>
      </c>
      <c r="D147" s="691">
        <v>338711.66666666698</v>
      </c>
    </row>
    <row r="148" spans="1:4" ht="24.95" customHeight="1">
      <c r="A148" s="8">
        <v>5</v>
      </c>
      <c r="B148" s="313" t="s">
        <v>263</v>
      </c>
      <c r="C148" s="8" t="s">
        <v>99</v>
      </c>
      <c r="D148" s="691">
        <v>338711.66666666698</v>
      </c>
    </row>
    <row r="149" spans="1:4" ht="24.95" customHeight="1">
      <c r="A149" s="8">
        <v>6</v>
      </c>
      <c r="B149" s="313" t="s">
        <v>264</v>
      </c>
      <c r="C149" s="8" t="s">
        <v>99</v>
      </c>
      <c r="D149" s="691">
        <v>338711.66666666698</v>
      </c>
    </row>
    <row r="150" spans="1:4" ht="24.95" customHeight="1">
      <c r="A150" s="8">
        <v>7</v>
      </c>
      <c r="B150" s="313" t="s">
        <v>265</v>
      </c>
      <c r="C150" s="8" t="s">
        <v>99</v>
      </c>
      <c r="D150" s="691">
        <v>338711.66666666698</v>
      </c>
    </row>
    <row r="151" spans="1:4" ht="24.95" customHeight="1">
      <c r="A151" s="8">
        <v>8</v>
      </c>
      <c r="B151" s="313" t="s">
        <v>266</v>
      </c>
      <c r="C151" s="13" t="s">
        <v>111</v>
      </c>
      <c r="D151" s="691">
        <v>294900.83333333401</v>
      </c>
    </row>
    <row r="152" spans="1:4" ht="24.95" customHeight="1">
      <c r="A152" s="2"/>
      <c r="B152" s="809" t="s">
        <v>120</v>
      </c>
      <c r="C152" s="24"/>
      <c r="D152" s="821">
        <f>SUM(D144:D151)</f>
        <v>3337668.33333334</v>
      </c>
    </row>
    <row r="153" spans="1:4" ht="24.95" customHeight="1">
      <c r="A153" s="2"/>
      <c r="B153" s="809"/>
      <c r="C153" s="24"/>
      <c r="D153" s="821"/>
    </row>
    <row r="154" spans="1:4" ht="24.95" customHeight="1">
      <c r="A154" s="8"/>
      <c r="B154" s="809" t="s">
        <v>268</v>
      </c>
      <c r="C154" s="19"/>
      <c r="D154" s="956"/>
    </row>
    <row r="155" spans="1:4" ht="24.95" customHeight="1">
      <c r="A155" s="2">
        <v>1</v>
      </c>
      <c r="B155" s="313" t="s">
        <v>269</v>
      </c>
      <c r="C155" s="13" t="s">
        <v>75</v>
      </c>
      <c r="D155" s="691">
        <v>381140.66666666599</v>
      </c>
    </row>
    <row r="156" spans="1:4" ht="24.95" customHeight="1">
      <c r="A156" s="2">
        <v>2</v>
      </c>
      <c r="B156" s="313" t="s">
        <v>271</v>
      </c>
      <c r="C156" s="8" t="s">
        <v>99</v>
      </c>
      <c r="D156" s="691">
        <v>338711.66666666698</v>
      </c>
    </row>
    <row r="157" spans="1:4" ht="24.95" customHeight="1">
      <c r="A157" s="2">
        <v>3</v>
      </c>
      <c r="B157" s="597" t="s">
        <v>273</v>
      </c>
      <c r="C157" s="8" t="s">
        <v>111</v>
      </c>
      <c r="D157" s="691">
        <v>294900.83333333401</v>
      </c>
    </row>
    <row r="158" spans="1:4" ht="24.95" customHeight="1">
      <c r="A158" s="2">
        <v>4</v>
      </c>
      <c r="B158" s="313" t="s">
        <v>275</v>
      </c>
      <c r="C158" s="13" t="s">
        <v>277</v>
      </c>
      <c r="D158" s="691">
        <v>287890.91666666698</v>
      </c>
    </row>
    <row r="159" spans="1:4" ht="24.95" customHeight="1">
      <c r="A159" s="2">
        <v>5</v>
      </c>
      <c r="B159" s="597" t="s">
        <v>278</v>
      </c>
      <c r="C159" s="8" t="s">
        <v>111</v>
      </c>
      <c r="D159" s="691">
        <v>294900.83333333401</v>
      </c>
    </row>
    <row r="160" spans="1:4" ht="24.95" customHeight="1">
      <c r="A160" s="2"/>
      <c r="B160" s="809" t="s">
        <v>120</v>
      </c>
      <c r="C160" s="24"/>
      <c r="D160" s="821">
        <f>SUM(D155:D159)</f>
        <v>1597544.91666667</v>
      </c>
    </row>
    <row r="161" spans="1:4" ht="24.95" customHeight="1">
      <c r="A161" s="2"/>
      <c r="B161" s="809"/>
      <c r="C161" s="24"/>
      <c r="D161" s="821"/>
    </row>
    <row r="162" spans="1:4" ht="24.95" customHeight="1">
      <c r="A162" s="2"/>
      <c r="B162" s="809" t="s">
        <v>280</v>
      </c>
      <c r="C162" s="19"/>
      <c r="D162" s="956"/>
    </row>
    <row r="163" spans="1:4" ht="24.95" customHeight="1">
      <c r="A163" s="2">
        <v>1</v>
      </c>
      <c r="B163" s="597" t="s">
        <v>281</v>
      </c>
      <c r="C163" s="13" t="s">
        <v>124</v>
      </c>
      <c r="D163" s="691">
        <v>1747106.41666666</v>
      </c>
    </row>
    <row r="164" spans="1:4" ht="24.95" customHeight="1">
      <c r="A164" s="2">
        <v>2</v>
      </c>
      <c r="B164" s="597" t="s">
        <v>283</v>
      </c>
      <c r="C164" s="13" t="s">
        <v>36</v>
      </c>
      <c r="D164" s="691">
        <v>905306.75</v>
      </c>
    </row>
    <row r="165" spans="1:4" ht="24.95" customHeight="1">
      <c r="A165" s="2">
        <v>3</v>
      </c>
      <c r="B165" s="593" t="s">
        <v>285</v>
      </c>
      <c r="C165" s="13" t="s">
        <v>36</v>
      </c>
      <c r="D165" s="691">
        <v>905306.75</v>
      </c>
    </row>
    <row r="166" spans="1:4" ht="24.95" customHeight="1">
      <c r="A166" s="2">
        <v>4</v>
      </c>
      <c r="B166" s="597" t="s">
        <v>286</v>
      </c>
      <c r="C166" s="13" t="s">
        <v>50</v>
      </c>
      <c r="D166" s="691">
        <v>722595.5</v>
      </c>
    </row>
    <row r="167" spans="1:4" ht="24.95" customHeight="1">
      <c r="A167" s="2">
        <v>5</v>
      </c>
      <c r="B167" s="597" t="s">
        <v>288</v>
      </c>
      <c r="C167" s="13" t="s">
        <v>42</v>
      </c>
      <c r="D167" s="691">
        <v>700713.91666666605</v>
      </c>
    </row>
    <row r="168" spans="1:4" ht="24.95" customHeight="1">
      <c r="A168" s="2">
        <v>6</v>
      </c>
      <c r="B168" s="597" t="s">
        <v>289</v>
      </c>
      <c r="C168" s="13" t="s">
        <v>47</v>
      </c>
      <c r="D168" s="691">
        <v>573911.08333333395</v>
      </c>
    </row>
    <row r="169" spans="1:4" ht="24.95" customHeight="1">
      <c r="A169" s="2">
        <v>7</v>
      </c>
      <c r="B169" s="597" t="s">
        <v>291</v>
      </c>
      <c r="C169" s="13" t="s">
        <v>191</v>
      </c>
      <c r="D169" s="691">
        <v>589657</v>
      </c>
    </row>
    <row r="170" spans="1:4" ht="24.95" customHeight="1">
      <c r="A170" s="2">
        <v>8</v>
      </c>
      <c r="B170" s="313" t="s">
        <v>292</v>
      </c>
      <c r="C170" s="13" t="s">
        <v>99</v>
      </c>
      <c r="D170" s="691">
        <v>338711.66666666698</v>
      </c>
    </row>
    <row r="171" spans="1:4" ht="24.95" customHeight="1">
      <c r="A171" s="2">
        <v>9</v>
      </c>
      <c r="B171" s="597" t="s">
        <v>294</v>
      </c>
      <c r="C171" s="13" t="s">
        <v>81</v>
      </c>
      <c r="D171" s="691">
        <v>372145.33333333302</v>
      </c>
    </row>
    <row r="172" spans="1:4" ht="24.95" customHeight="1">
      <c r="A172" s="2">
        <v>10</v>
      </c>
      <c r="B172" s="313" t="s">
        <v>296</v>
      </c>
      <c r="C172" s="13" t="s">
        <v>105</v>
      </c>
      <c r="D172" s="691">
        <v>308920.66666666698</v>
      </c>
    </row>
    <row r="173" spans="1:4" ht="24.95" customHeight="1">
      <c r="A173" s="2">
        <v>11</v>
      </c>
      <c r="B173" s="313" t="s">
        <v>298</v>
      </c>
      <c r="C173" s="13" t="s">
        <v>105</v>
      </c>
      <c r="D173" s="691">
        <v>308920.66666666698</v>
      </c>
    </row>
    <row r="174" spans="1:4" ht="24.95" customHeight="1">
      <c r="A174" s="2">
        <v>12</v>
      </c>
      <c r="B174" s="313" t="s">
        <v>299</v>
      </c>
      <c r="C174" s="13" t="s">
        <v>108</v>
      </c>
      <c r="D174" s="958">
        <v>301910.75</v>
      </c>
    </row>
    <row r="175" spans="1:4" ht="24.95" customHeight="1">
      <c r="A175" s="2"/>
      <c r="B175" s="809" t="s">
        <v>120</v>
      </c>
      <c r="C175" s="13"/>
      <c r="D175" s="811">
        <f>SUM(D163:D174)</f>
        <v>7775206.4999999898</v>
      </c>
    </row>
    <row r="176" spans="1:4" ht="24.95" customHeight="1">
      <c r="A176" s="2"/>
      <c r="B176" s="812"/>
      <c r="C176" s="13"/>
      <c r="D176" s="956"/>
    </row>
    <row r="177" spans="1:4" ht="24.95" customHeight="1">
      <c r="A177" s="2"/>
      <c r="B177" s="809" t="s">
        <v>301</v>
      </c>
      <c r="C177" s="13"/>
      <c r="D177" s="691"/>
    </row>
    <row r="178" spans="1:4" ht="24.95" customHeight="1">
      <c r="A178" s="25">
        <v>1</v>
      </c>
      <c r="B178" s="593" t="s">
        <v>302</v>
      </c>
      <c r="C178" s="8" t="s">
        <v>304</v>
      </c>
      <c r="D178" s="691">
        <v>1697359.33333333</v>
      </c>
    </row>
    <row r="179" spans="1:4" ht="24.95" customHeight="1">
      <c r="A179" s="25">
        <v>2</v>
      </c>
      <c r="B179" s="593" t="s">
        <v>305</v>
      </c>
      <c r="C179" s="14" t="s">
        <v>36</v>
      </c>
      <c r="D179" s="691">
        <v>905306.75</v>
      </c>
    </row>
    <row r="180" spans="1:4" ht="24.95" customHeight="1">
      <c r="A180" s="25">
        <v>3</v>
      </c>
      <c r="B180" s="597" t="s">
        <v>307</v>
      </c>
      <c r="C180" s="13" t="s">
        <v>50</v>
      </c>
      <c r="D180" s="691">
        <v>722595.5</v>
      </c>
    </row>
    <row r="181" spans="1:4" ht="24.95" customHeight="1">
      <c r="A181" s="25">
        <v>4</v>
      </c>
      <c r="B181" s="597" t="s">
        <v>309</v>
      </c>
      <c r="C181" s="13" t="s">
        <v>50</v>
      </c>
      <c r="D181" s="691">
        <v>722595.5</v>
      </c>
    </row>
    <row r="182" spans="1:4" ht="24.95" customHeight="1">
      <c r="A182" s="25">
        <v>5</v>
      </c>
      <c r="B182" s="597" t="s">
        <v>311</v>
      </c>
      <c r="C182" s="13" t="s">
        <v>50</v>
      </c>
      <c r="D182" s="691">
        <v>722595.5</v>
      </c>
    </row>
    <row r="183" spans="1:4" ht="24.95" customHeight="1">
      <c r="A183" s="25">
        <v>6</v>
      </c>
      <c r="B183" s="597" t="s">
        <v>312</v>
      </c>
      <c r="C183" s="8" t="s">
        <v>53</v>
      </c>
      <c r="D183" s="691">
        <v>542419.5</v>
      </c>
    </row>
    <row r="184" spans="1:4" ht="24.95" customHeight="1">
      <c r="A184" s="25">
        <v>7</v>
      </c>
      <c r="B184" s="597" t="s">
        <v>314</v>
      </c>
      <c r="C184" s="13" t="s">
        <v>64</v>
      </c>
      <c r="D184" s="691">
        <v>497472.75</v>
      </c>
    </row>
    <row r="185" spans="1:4" ht="24.95" customHeight="1">
      <c r="A185" s="25">
        <v>8</v>
      </c>
      <c r="B185" s="597" t="s">
        <v>315</v>
      </c>
      <c r="C185" s="13" t="s">
        <v>64</v>
      </c>
      <c r="D185" s="691">
        <v>497472.75</v>
      </c>
    </row>
    <row r="186" spans="1:4" ht="24.95" customHeight="1">
      <c r="A186" s="25">
        <v>9</v>
      </c>
      <c r="B186" s="597" t="s">
        <v>317</v>
      </c>
      <c r="C186" s="13" t="s">
        <v>67</v>
      </c>
      <c r="D186" s="691">
        <v>482846.58333333401</v>
      </c>
    </row>
    <row r="187" spans="1:4" ht="24.95" customHeight="1">
      <c r="A187" s="25">
        <v>10</v>
      </c>
      <c r="B187" s="597" t="s">
        <v>319</v>
      </c>
      <c r="C187" s="13" t="s">
        <v>172</v>
      </c>
      <c r="D187" s="691">
        <v>482662.66666666698</v>
      </c>
    </row>
    <row r="188" spans="1:4" ht="24.95" customHeight="1">
      <c r="A188" s="25">
        <v>11</v>
      </c>
      <c r="B188" s="313" t="s">
        <v>321</v>
      </c>
      <c r="C188" s="13" t="s">
        <v>70</v>
      </c>
      <c r="D188" s="692">
        <v>468828.16666666698</v>
      </c>
    </row>
    <row r="189" spans="1:4" ht="24.95" customHeight="1">
      <c r="A189" s="25">
        <v>12</v>
      </c>
      <c r="B189" s="597" t="s">
        <v>323</v>
      </c>
      <c r="C189" s="13" t="s">
        <v>131</v>
      </c>
      <c r="D189" s="692">
        <v>454993.58333333302</v>
      </c>
    </row>
    <row r="190" spans="1:4" ht="24.95" customHeight="1">
      <c r="A190" s="25">
        <v>13</v>
      </c>
      <c r="B190" s="597" t="s">
        <v>324</v>
      </c>
      <c r="C190" s="13" t="s">
        <v>131</v>
      </c>
      <c r="D190" s="692">
        <v>454993.58333333302</v>
      </c>
    </row>
    <row r="191" spans="1:4" ht="24.95" customHeight="1">
      <c r="A191" s="25">
        <v>14</v>
      </c>
      <c r="B191" s="597" t="s">
        <v>325</v>
      </c>
      <c r="C191" s="13" t="s">
        <v>131</v>
      </c>
      <c r="D191" s="692">
        <v>454993.58333333302</v>
      </c>
    </row>
    <row r="192" spans="1:4" ht="24.95" customHeight="1">
      <c r="A192" s="25">
        <v>15</v>
      </c>
      <c r="B192" s="597" t="s">
        <v>326</v>
      </c>
      <c r="C192" s="13" t="s">
        <v>70</v>
      </c>
      <c r="D192" s="692">
        <v>468828.16666666698</v>
      </c>
    </row>
    <row r="193" spans="1:4" ht="24.95" customHeight="1">
      <c r="A193" s="25">
        <v>16</v>
      </c>
      <c r="B193" s="597" t="s">
        <v>327</v>
      </c>
      <c r="C193" s="13" t="s">
        <v>151</v>
      </c>
      <c r="D193" s="692">
        <v>399131.16666666698</v>
      </c>
    </row>
    <row r="194" spans="1:4" ht="24.95" customHeight="1">
      <c r="A194" s="25">
        <v>17</v>
      </c>
      <c r="B194" s="597" t="s">
        <v>329</v>
      </c>
      <c r="C194" s="8" t="s">
        <v>81</v>
      </c>
      <c r="D194" s="691">
        <v>372145.33333333302</v>
      </c>
    </row>
    <row r="195" spans="1:4" ht="24.95" customHeight="1">
      <c r="A195" s="25">
        <v>18</v>
      </c>
      <c r="B195" s="597" t="s">
        <v>331</v>
      </c>
      <c r="C195" s="13" t="s">
        <v>131</v>
      </c>
      <c r="D195" s="692">
        <v>454993.58333333302</v>
      </c>
    </row>
    <row r="196" spans="1:4" ht="24.95" customHeight="1">
      <c r="A196" s="25">
        <v>19</v>
      </c>
      <c r="B196" s="597" t="s">
        <v>333</v>
      </c>
      <c r="C196" s="13" t="s">
        <v>75</v>
      </c>
      <c r="D196" s="691">
        <v>381140.66666666599</v>
      </c>
    </row>
    <row r="197" spans="1:4" ht="24.95" customHeight="1">
      <c r="A197" s="25">
        <v>20</v>
      </c>
      <c r="B197" s="597" t="s">
        <v>335</v>
      </c>
      <c r="C197" s="13" t="s">
        <v>131</v>
      </c>
      <c r="D197" s="692">
        <v>454993.58333333302</v>
      </c>
    </row>
    <row r="198" spans="1:4" ht="24.95" customHeight="1">
      <c r="A198" s="25">
        <v>21</v>
      </c>
      <c r="B198" s="597" t="s">
        <v>336</v>
      </c>
      <c r="C198" s="13" t="s">
        <v>81</v>
      </c>
      <c r="D198" s="691">
        <v>372145.33333333302</v>
      </c>
    </row>
    <row r="199" spans="1:4" ht="24.95" customHeight="1">
      <c r="A199" s="25">
        <v>22</v>
      </c>
      <c r="B199" s="313" t="s">
        <v>338</v>
      </c>
      <c r="C199" s="13" t="s">
        <v>86</v>
      </c>
      <c r="D199" s="692">
        <v>338711.66666666698</v>
      </c>
    </row>
    <row r="200" spans="1:4" ht="24.95" customHeight="1">
      <c r="A200" s="25">
        <v>23</v>
      </c>
      <c r="B200" s="313" t="s">
        <v>340</v>
      </c>
      <c r="C200" s="13" t="s">
        <v>86</v>
      </c>
      <c r="D200" s="692">
        <v>347016.16666666599</v>
      </c>
    </row>
    <row r="201" spans="1:4" ht="24.95" customHeight="1">
      <c r="A201" s="25">
        <v>24</v>
      </c>
      <c r="B201" s="313" t="s">
        <v>341</v>
      </c>
      <c r="C201" s="8" t="s">
        <v>99</v>
      </c>
      <c r="D201" s="691">
        <v>338711.66666666698</v>
      </c>
    </row>
    <row r="202" spans="1:4" ht="24.95" customHeight="1">
      <c r="A202" s="25">
        <v>25</v>
      </c>
      <c r="B202" s="313" t="s">
        <v>343</v>
      </c>
      <c r="C202" s="8" t="s">
        <v>225</v>
      </c>
      <c r="D202" s="691">
        <v>330408.08333333302</v>
      </c>
    </row>
    <row r="203" spans="1:4" ht="24.95" customHeight="1">
      <c r="A203" s="25">
        <v>26</v>
      </c>
      <c r="B203" s="313" t="s">
        <v>345</v>
      </c>
      <c r="C203" s="13" t="s">
        <v>105</v>
      </c>
      <c r="D203" s="691">
        <v>308920.66666666698</v>
      </c>
    </row>
    <row r="204" spans="1:4" ht="24.95" customHeight="1">
      <c r="A204" s="25">
        <v>27</v>
      </c>
      <c r="B204" s="313" t="s">
        <v>347</v>
      </c>
      <c r="C204" s="13" t="s">
        <v>105</v>
      </c>
      <c r="D204" s="691">
        <v>308920.66666666698</v>
      </c>
    </row>
    <row r="205" spans="1:4" ht="24.95" customHeight="1">
      <c r="A205" s="25">
        <v>28</v>
      </c>
      <c r="B205" s="313" t="s">
        <v>349</v>
      </c>
      <c r="C205" s="13" t="s">
        <v>105</v>
      </c>
      <c r="D205" s="691">
        <v>308920.66666666698</v>
      </c>
    </row>
    <row r="206" spans="1:4" ht="24.95" customHeight="1">
      <c r="A206" s="25">
        <v>29</v>
      </c>
      <c r="B206" s="313" t="s">
        <v>351</v>
      </c>
      <c r="C206" s="8" t="s">
        <v>225</v>
      </c>
      <c r="D206" s="691">
        <v>330408.08333333302</v>
      </c>
    </row>
    <row r="207" spans="1:4" ht="24.95" customHeight="1">
      <c r="A207" s="25">
        <v>30</v>
      </c>
      <c r="B207" s="313" t="s">
        <v>352</v>
      </c>
      <c r="C207" s="13" t="s">
        <v>105</v>
      </c>
      <c r="D207" s="691">
        <v>308920.66666666698</v>
      </c>
    </row>
    <row r="208" spans="1:4" ht="24.95" customHeight="1">
      <c r="A208" s="25">
        <v>31</v>
      </c>
      <c r="B208" s="313" t="s">
        <v>353</v>
      </c>
      <c r="C208" s="13" t="s">
        <v>108</v>
      </c>
      <c r="D208" s="955">
        <v>301910.75</v>
      </c>
    </row>
    <row r="209" spans="1:4" ht="24.95" customHeight="1">
      <c r="A209" s="25">
        <v>32</v>
      </c>
      <c r="B209" s="313" t="s">
        <v>355</v>
      </c>
      <c r="C209" s="13" t="s">
        <v>108</v>
      </c>
      <c r="D209" s="955">
        <v>301910.75</v>
      </c>
    </row>
    <row r="210" spans="1:4" ht="24.95" customHeight="1">
      <c r="A210" s="25">
        <v>33</v>
      </c>
      <c r="B210" s="313" t="s">
        <v>356</v>
      </c>
      <c r="C210" s="13" t="s">
        <v>111</v>
      </c>
      <c r="D210" s="691">
        <v>294900.83333333401</v>
      </c>
    </row>
    <row r="211" spans="1:4" ht="24.95" customHeight="1">
      <c r="A211" s="25">
        <v>34</v>
      </c>
      <c r="B211" s="313" t="s">
        <v>357</v>
      </c>
      <c r="C211" s="13" t="s">
        <v>111</v>
      </c>
      <c r="D211" s="691">
        <v>294900.83333333401</v>
      </c>
    </row>
    <row r="212" spans="1:4" ht="24.95" customHeight="1">
      <c r="A212" s="25">
        <v>35</v>
      </c>
      <c r="B212" s="313" t="s">
        <v>358</v>
      </c>
      <c r="C212" s="13" t="s">
        <v>111</v>
      </c>
      <c r="D212" s="691">
        <v>294900.83333333401</v>
      </c>
    </row>
    <row r="213" spans="1:4" ht="24.95" customHeight="1">
      <c r="A213" s="25">
        <v>36</v>
      </c>
      <c r="B213" s="313" t="s">
        <v>359</v>
      </c>
      <c r="C213" s="13" t="s">
        <v>277</v>
      </c>
      <c r="D213" s="691">
        <v>287890.91666666698</v>
      </c>
    </row>
    <row r="214" spans="1:4" ht="24.95" customHeight="1">
      <c r="A214" s="25">
        <v>37</v>
      </c>
      <c r="B214" s="313" t="s">
        <v>360</v>
      </c>
      <c r="C214" s="13" t="s">
        <v>277</v>
      </c>
      <c r="D214" s="691">
        <v>287890.91666666698</v>
      </c>
    </row>
    <row r="215" spans="1:4" ht="24.95" customHeight="1">
      <c r="A215" s="25">
        <v>38</v>
      </c>
      <c r="B215" s="597" t="s">
        <v>361</v>
      </c>
      <c r="C215" s="13" t="s">
        <v>363</v>
      </c>
      <c r="D215" s="959">
        <v>255667.08333333299</v>
      </c>
    </row>
    <row r="216" spans="1:4" ht="24.95" customHeight="1">
      <c r="A216" s="25">
        <v>39</v>
      </c>
      <c r="B216" s="597" t="s">
        <v>364</v>
      </c>
      <c r="C216" s="13" t="s">
        <v>363</v>
      </c>
      <c r="D216" s="959">
        <v>255667.08333333299</v>
      </c>
    </row>
    <row r="217" spans="1:4" ht="24.95" customHeight="1">
      <c r="A217" s="25">
        <v>40</v>
      </c>
      <c r="B217" s="597" t="s">
        <v>365</v>
      </c>
      <c r="C217" s="13" t="s">
        <v>363</v>
      </c>
      <c r="D217" s="959">
        <v>255667.08333333299</v>
      </c>
    </row>
    <row r="218" spans="1:4" ht="24.95" customHeight="1">
      <c r="A218" s="25">
        <v>41</v>
      </c>
      <c r="B218" s="597" t="s">
        <v>366</v>
      </c>
      <c r="C218" s="13" t="s">
        <v>363</v>
      </c>
      <c r="D218" s="959">
        <v>255667.08333333299</v>
      </c>
    </row>
    <row r="219" spans="1:4" ht="24.95" customHeight="1">
      <c r="A219" s="25">
        <v>42</v>
      </c>
      <c r="B219" s="597" t="s">
        <v>367</v>
      </c>
      <c r="C219" s="13" t="s">
        <v>368</v>
      </c>
      <c r="D219" s="959">
        <v>249683.75</v>
      </c>
    </row>
    <row r="220" spans="1:4" ht="24.95" customHeight="1">
      <c r="A220" s="25">
        <v>43</v>
      </c>
      <c r="B220" s="597" t="s">
        <v>369</v>
      </c>
      <c r="C220" s="13" t="s">
        <v>368</v>
      </c>
      <c r="D220" s="959">
        <v>249683.75</v>
      </c>
    </row>
    <row r="221" spans="1:4" ht="24.95" customHeight="1">
      <c r="A221" s="25">
        <v>44</v>
      </c>
      <c r="B221" s="593" t="s">
        <v>370</v>
      </c>
      <c r="C221" s="13" t="s">
        <v>368</v>
      </c>
      <c r="D221" s="959">
        <v>249683.75</v>
      </c>
    </row>
    <row r="222" spans="1:4" ht="24.95" customHeight="1">
      <c r="A222" s="25">
        <v>45</v>
      </c>
      <c r="B222" s="597" t="s">
        <v>371</v>
      </c>
      <c r="C222" s="13" t="s">
        <v>368</v>
      </c>
      <c r="D222" s="959">
        <v>249683.75</v>
      </c>
    </row>
    <row r="223" spans="1:4" ht="24.95" customHeight="1">
      <c r="A223" s="25">
        <v>46</v>
      </c>
      <c r="B223" s="313" t="s">
        <v>372</v>
      </c>
      <c r="C223" s="13" t="s">
        <v>368</v>
      </c>
      <c r="D223" s="959">
        <v>249683.75</v>
      </c>
    </row>
    <row r="224" spans="1:4" ht="24.95" customHeight="1">
      <c r="A224" s="25">
        <v>47</v>
      </c>
      <c r="B224" s="597" t="s">
        <v>373</v>
      </c>
      <c r="C224" s="13" t="s">
        <v>374</v>
      </c>
      <c r="D224" s="691">
        <v>237717.16666666701</v>
      </c>
    </row>
    <row r="225" spans="1:4" ht="24.95" customHeight="1">
      <c r="A225" s="25">
        <v>48</v>
      </c>
      <c r="B225" s="597" t="s">
        <v>375</v>
      </c>
      <c r="C225" s="13" t="s">
        <v>374</v>
      </c>
      <c r="D225" s="691">
        <v>237717.16666666701</v>
      </c>
    </row>
    <row r="226" spans="1:4" ht="24.95" customHeight="1">
      <c r="A226" s="25">
        <v>49</v>
      </c>
      <c r="B226" s="313" t="s">
        <v>376</v>
      </c>
      <c r="C226" s="13" t="s">
        <v>377</v>
      </c>
      <c r="D226" s="691">
        <v>243700.41666666701</v>
      </c>
    </row>
    <row r="227" spans="1:4" ht="24.95" customHeight="1">
      <c r="A227" s="25">
        <v>50</v>
      </c>
      <c r="B227" s="597" t="s">
        <v>378</v>
      </c>
      <c r="C227" s="13" t="s">
        <v>379</v>
      </c>
      <c r="D227" s="691">
        <v>225750.58333333299</v>
      </c>
    </row>
    <row r="228" spans="1:4" ht="24.95" customHeight="1">
      <c r="A228" s="25">
        <v>51</v>
      </c>
      <c r="B228" s="597" t="s">
        <v>380</v>
      </c>
      <c r="C228" s="13" t="s">
        <v>379</v>
      </c>
      <c r="D228" s="691">
        <v>225750.58333333299</v>
      </c>
    </row>
    <row r="229" spans="1:4" ht="24.95" customHeight="1">
      <c r="A229" s="25">
        <v>52</v>
      </c>
      <c r="B229" s="597" t="s">
        <v>381</v>
      </c>
      <c r="C229" s="13" t="s">
        <v>379</v>
      </c>
      <c r="D229" s="691">
        <v>225750.58333333299</v>
      </c>
    </row>
    <row r="230" spans="1:4" ht="24.95" customHeight="1">
      <c r="A230" s="25">
        <v>53</v>
      </c>
      <c r="B230" s="597" t="s">
        <v>382</v>
      </c>
      <c r="C230" s="13" t="s">
        <v>379</v>
      </c>
      <c r="D230" s="691">
        <v>225750.58333333299</v>
      </c>
    </row>
    <row r="231" spans="1:4" ht="24.95" customHeight="1">
      <c r="A231" s="25">
        <v>54</v>
      </c>
      <c r="B231" s="597" t="s">
        <v>383</v>
      </c>
      <c r="C231" s="13" t="s">
        <v>379</v>
      </c>
      <c r="D231" s="691">
        <v>225750.58333333299</v>
      </c>
    </row>
    <row r="232" spans="1:4" ht="24.95" customHeight="1">
      <c r="A232" s="25">
        <v>55</v>
      </c>
      <c r="B232" s="597" t="s">
        <v>384</v>
      </c>
      <c r="C232" s="13" t="s">
        <v>379</v>
      </c>
      <c r="D232" s="691">
        <v>225750.58333333299</v>
      </c>
    </row>
    <row r="233" spans="1:4" ht="24.95" customHeight="1">
      <c r="A233" s="25">
        <v>56</v>
      </c>
      <c r="B233" s="313" t="s">
        <v>385</v>
      </c>
      <c r="C233" s="13" t="s">
        <v>386</v>
      </c>
      <c r="D233" s="691">
        <v>231733.83333333401</v>
      </c>
    </row>
    <row r="234" spans="1:4" ht="24.95" customHeight="1">
      <c r="A234" s="25">
        <v>57</v>
      </c>
      <c r="B234" s="313" t="s">
        <v>387</v>
      </c>
      <c r="C234" s="13" t="s">
        <v>390</v>
      </c>
      <c r="D234" s="691">
        <v>149217.75</v>
      </c>
    </row>
    <row r="235" spans="1:4" ht="24.95" customHeight="1">
      <c r="A235" s="25">
        <v>58</v>
      </c>
      <c r="B235" s="597" t="s">
        <v>388</v>
      </c>
      <c r="C235" s="13" t="s">
        <v>390</v>
      </c>
      <c r="D235" s="691">
        <v>149217.75</v>
      </c>
    </row>
    <row r="236" spans="1:4" ht="24.95" customHeight="1">
      <c r="A236" s="25">
        <v>59</v>
      </c>
      <c r="B236" s="313" t="s">
        <v>391</v>
      </c>
      <c r="C236" s="13" t="s">
        <v>393</v>
      </c>
      <c r="D236" s="691">
        <v>140634.66666666701</v>
      </c>
    </row>
    <row r="237" spans="1:4" ht="24.95" customHeight="1">
      <c r="A237" s="25">
        <v>60</v>
      </c>
      <c r="B237" s="313" t="s">
        <v>394</v>
      </c>
      <c r="C237" s="13" t="s">
        <v>395</v>
      </c>
      <c r="D237" s="691">
        <v>137773.5</v>
      </c>
    </row>
    <row r="238" spans="1:4" ht="24.95" customHeight="1">
      <c r="A238" s="25">
        <v>61</v>
      </c>
      <c r="B238" s="313" t="s">
        <v>396</v>
      </c>
      <c r="C238" s="13" t="s">
        <v>397</v>
      </c>
      <c r="D238" s="691">
        <v>134912.66666666701</v>
      </c>
    </row>
    <row r="239" spans="1:4" ht="24.95" customHeight="1">
      <c r="A239" s="25">
        <v>62</v>
      </c>
      <c r="B239" s="313" t="s">
        <v>398</v>
      </c>
      <c r="C239" s="13" t="s">
        <v>400</v>
      </c>
      <c r="D239" s="691">
        <v>131512.16666666701</v>
      </c>
    </row>
    <row r="240" spans="1:4" ht="24.95" customHeight="1">
      <c r="A240" s="25">
        <v>63</v>
      </c>
      <c r="B240" s="313" t="s">
        <v>401</v>
      </c>
      <c r="C240" s="13" t="s">
        <v>400</v>
      </c>
      <c r="D240" s="691">
        <v>131512.16666666701</v>
      </c>
    </row>
    <row r="241" spans="1:4" ht="24.95" customHeight="1">
      <c r="A241" s="25">
        <v>64</v>
      </c>
      <c r="B241" s="313" t="s">
        <v>402</v>
      </c>
      <c r="C241" s="13" t="s">
        <v>400</v>
      </c>
      <c r="D241" s="691">
        <v>131512.16666666701</v>
      </c>
    </row>
    <row r="242" spans="1:4" ht="24.95" customHeight="1">
      <c r="A242" s="25">
        <v>65</v>
      </c>
      <c r="B242" s="313" t="s">
        <v>403</v>
      </c>
      <c r="C242" s="13" t="s">
        <v>405</v>
      </c>
      <c r="D242" s="691">
        <v>143495.66666666701</v>
      </c>
    </row>
    <row r="243" spans="1:4" ht="24.95" customHeight="1">
      <c r="A243" s="25">
        <v>66</v>
      </c>
      <c r="B243" s="313" t="s">
        <v>406</v>
      </c>
      <c r="C243" s="13" t="s">
        <v>405</v>
      </c>
      <c r="D243" s="691">
        <v>143495.66666666701</v>
      </c>
    </row>
    <row r="244" spans="1:4" ht="24.95" customHeight="1">
      <c r="A244" s="25"/>
      <c r="B244" s="6" t="s">
        <v>120</v>
      </c>
      <c r="C244" s="27"/>
      <c r="D244" s="821">
        <f>SUM(D178:D243)</f>
        <v>22965501.083333299</v>
      </c>
    </row>
    <row r="245" spans="1:4" ht="24.95" customHeight="1">
      <c r="A245" s="2"/>
      <c r="B245" s="28" t="s">
        <v>408</v>
      </c>
      <c r="C245" s="30"/>
      <c r="D245" s="960">
        <f>D244+D175+D160+D152+D141+D127+D117+D101+D87+D73+D68+D53+D43</f>
        <v>101466028.833333</v>
      </c>
    </row>
  </sheetData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17"/>
  <sheetViews>
    <sheetView view="pageBreakPreview" zoomScaleNormal="100" workbookViewId="0">
      <selection activeCell="K6" sqref="K6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156" t="s">
        <v>518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</row>
    <row r="2" spans="1:11" ht="18.75">
      <c r="A2" s="1156" t="s">
        <v>650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50"/>
      <c r="J3" s="950"/>
      <c r="K3" s="950"/>
    </row>
    <row r="4" spans="1:11" ht="41.1" customHeight="1">
      <c r="A4" s="703" t="s">
        <v>520</v>
      </c>
      <c r="B4" s="931" t="s">
        <v>521</v>
      </c>
      <c r="C4" s="931" t="s">
        <v>522</v>
      </c>
      <c r="D4" s="931" t="s">
        <v>523</v>
      </c>
      <c r="E4" s="931" t="s">
        <v>524</v>
      </c>
      <c r="F4" s="931" t="s">
        <v>651</v>
      </c>
      <c r="G4" s="931" t="s">
        <v>652</v>
      </c>
      <c r="H4" s="931" t="s">
        <v>527</v>
      </c>
      <c r="I4" s="931" t="s">
        <v>528</v>
      </c>
      <c r="J4" s="931" t="s">
        <v>529</v>
      </c>
      <c r="K4" s="931" t="s">
        <v>530</v>
      </c>
    </row>
    <row r="5" spans="1:11" ht="14.25">
      <c r="A5" s="703"/>
      <c r="B5" s="939"/>
      <c r="C5" s="940"/>
      <c r="D5" s="940"/>
      <c r="E5" s="940"/>
      <c r="F5" s="941" t="s">
        <v>21</v>
      </c>
      <c r="G5" s="941" t="s">
        <v>21</v>
      </c>
      <c r="H5" s="941" t="s">
        <v>21</v>
      </c>
      <c r="I5" s="941"/>
      <c r="J5" s="941"/>
      <c r="K5" s="941" t="s">
        <v>21</v>
      </c>
    </row>
    <row r="6" spans="1:11" ht="30" customHeight="1">
      <c r="A6" s="709">
        <v>13</v>
      </c>
      <c r="B6" s="942" t="s">
        <v>653</v>
      </c>
      <c r="C6" s="943" t="s">
        <v>654</v>
      </c>
      <c r="D6" s="947" t="s">
        <v>655</v>
      </c>
      <c r="E6" s="942" t="s">
        <v>656</v>
      </c>
      <c r="F6" s="945">
        <v>415320.66666666698</v>
      </c>
      <c r="G6" s="945">
        <v>432145.33333333302</v>
      </c>
      <c r="H6" s="945">
        <f>G6-F6</f>
        <v>16824.666666665998</v>
      </c>
      <c r="I6" s="943" t="s">
        <v>657</v>
      </c>
      <c r="J6" s="951">
        <v>4</v>
      </c>
      <c r="K6" s="945">
        <f>J6*H6</f>
        <v>67298.666666664198</v>
      </c>
    </row>
    <row r="7" spans="1:11" ht="21.95" customHeight="1">
      <c r="A7" s="946"/>
      <c r="B7" s="946" t="s">
        <v>120</v>
      </c>
      <c r="C7" s="946"/>
      <c r="D7" s="946"/>
      <c r="E7" s="946"/>
      <c r="F7" s="945"/>
      <c r="G7" s="945"/>
      <c r="H7" s="948">
        <f>SUM(H6:H6)</f>
        <v>16824.666666665998</v>
      </c>
      <c r="I7" s="946"/>
      <c r="J7" s="952"/>
      <c r="K7" s="953">
        <f>SUM(K6:K6)</f>
        <v>67298.666666664198</v>
      </c>
    </row>
    <row r="8" spans="1:11" ht="15">
      <c r="A8" s="949"/>
      <c r="B8" s="949"/>
      <c r="C8" s="949"/>
      <c r="D8" s="949"/>
      <c r="E8" s="949"/>
      <c r="F8" s="949"/>
      <c r="G8" s="949"/>
      <c r="H8" s="949"/>
      <c r="I8" s="949"/>
      <c r="J8" s="949"/>
      <c r="K8" s="949"/>
    </row>
    <row r="9" spans="1:11" ht="15">
      <c r="A9" s="949"/>
      <c r="B9" s="949"/>
      <c r="C9" s="949"/>
      <c r="D9" s="949"/>
      <c r="E9" s="949"/>
      <c r="F9" s="949"/>
      <c r="G9" s="949"/>
      <c r="H9" s="949"/>
      <c r="I9" s="949"/>
      <c r="J9" s="949"/>
      <c r="K9" s="949"/>
    </row>
    <row r="10" spans="1:11" ht="15">
      <c r="A10" s="949"/>
      <c r="B10" s="949"/>
      <c r="C10" s="949"/>
      <c r="D10" s="949"/>
      <c r="E10" s="949"/>
      <c r="F10" s="949"/>
      <c r="G10" s="949"/>
      <c r="H10" s="949"/>
      <c r="I10" s="949"/>
      <c r="J10" s="949"/>
      <c r="K10" s="949"/>
    </row>
    <row r="11" spans="1:11" ht="15">
      <c r="A11" s="949"/>
      <c r="B11" s="949"/>
      <c r="C11" s="949"/>
      <c r="D11" s="949"/>
      <c r="E11" s="949"/>
      <c r="F11" s="949"/>
      <c r="G11" s="949"/>
      <c r="H11" s="949"/>
      <c r="I11" s="949"/>
      <c r="J11" s="949"/>
      <c r="K11" s="949"/>
    </row>
    <row r="12" spans="1:11" ht="15">
      <c r="A12" s="949"/>
      <c r="B12" s="949"/>
      <c r="C12" s="949"/>
      <c r="D12" s="949"/>
      <c r="E12" s="949"/>
      <c r="F12" s="949"/>
      <c r="G12" s="949"/>
      <c r="H12" s="949"/>
      <c r="I12" s="949"/>
      <c r="J12" s="949"/>
      <c r="K12" s="949"/>
    </row>
    <row r="13" spans="1:11" ht="15">
      <c r="A13" s="949"/>
      <c r="B13" s="949"/>
      <c r="C13" s="949"/>
      <c r="D13" s="949"/>
      <c r="E13" s="949"/>
      <c r="F13" s="949"/>
      <c r="G13" s="949"/>
      <c r="H13" s="949"/>
      <c r="I13" s="949"/>
      <c r="J13" s="949"/>
      <c r="K13" s="949"/>
    </row>
    <row r="14" spans="1:11" ht="15">
      <c r="A14" s="949"/>
      <c r="B14" s="949"/>
      <c r="C14" s="949"/>
      <c r="D14" s="949"/>
      <c r="E14" s="949"/>
      <c r="F14" s="949"/>
      <c r="G14" s="949"/>
      <c r="H14" s="949"/>
      <c r="I14" s="949"/>
      <c r="J14" s="949"/>
      <c r="K14" s="949"/>
    </row>
    <row r="15" spans="1:11" ht="15">
      <c r="A15" s="949"/>
      <c r="B15" s="949"/>
      <c r="C15" s="949"/>
      <c r="D15" s="949"/>
      <c r="E15" s="949"/>
      <c r="F15" s="949"/>
      <c r="G15" s="949"/>
      <c r="H15" s="949"/>
      <c r="I15" s="949"/>
      <c r="J15" s="949"/>
      <c r="K15" s="949"/>
    </row>
    <row r="16" spans="1:11" ht="15">
      <c r="A16" s="949"/>
      <c r="B16" s="949"/>
      <c r="C16" s="949"/>
      <c r="D16" s="949"/>
      <c r="E16" s="949"/>
      <c r="F16" s="949"/>
      <c r="G16" s="949"/>
      <c r="H16" s="949"/>
      <c r="I16" s="949"/>
      <c r="J16" s="949"/>
      <c r="K16" s="949"/>
    </row>
    <row r="17" spans="1:11" ht="15">
      <c r="A17" s="949"/>
      <c r="B17" s="949"/>
      <c r="C17" s="949"/>
      <c r="D17" s="949"/>
      <c r="E17" s="949"/>
      <c r="F17" s="949"/>
      <c r="G17" s="949"/>
      <c r="H17" s="949"/>
      <c r="I17" s="949"/>
      <c r="J17" s="949"/>
      <c r="K17" s="949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zoomScale="90" zoomScaleNormal="90" zoomScaleSheetLayoutView="50" workbookViewId="0">
      <pane xSplit="3" ySplit="7" topLeftCell="D248" activePane="bottomRight" state="frozen"/>
      <selection pane="topRight"/>
      <selection pane="bottomLeft"/>
      <selection pane="bottomRight" activeCell="G4" sqref="G4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658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551</v>
      </c>
    </row>
    <row r="5" spans="1:5" ht="8.1" customHeight="1">
      <c r="C5" s="6"/>
      <c r="D5" s="6"/>
    </row>
    <row r="6" spans="1:5" ht="20.100000000000001" customHeight="1">
      <c r="A6" s="7" t="s">
        <v>22</v>
      </c>
      <c r="B6" s="6" t="s">
        <v>23</v>
      </c>
      <c r="C6" s="6"/>
      <c r="D6" s="6"/>
      <c r="E6" s="757" t="s">
        <v>21</v>
      </c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58">
        <v>648000</v>
      </c>
    </row>
    <row r="8" spans="1:5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58">
        <v>216000</v>
      </c>
    </row>
    <row r="9" spans="1:5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58">
        <v>216000</v>
      </c>
    </row>
    <row r="10" spans="1:5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58">
        <v>216000</v>
      </c>
    </row>
    <row r="11" spans="1:5" ht="20.100000000000001" customHeight="1">
      <c r="A11" s="8">
        <v>5</v>
      </c>
      <c r="B11" s="9" t="s">
        <v>34</v>
      </c>
      <c r="C11" s="10" t="s">
        <v>35</v>
      </c>
      <c r="D11" s="13" t="s">
        <v>209</v>
      </c>
      <c r="E11" s="758">
        <v>216000</v>
      </c>
    </row>
    <row r="12" spans="1:5" ht="20.100000000000001" customHeight="1">
      <c r="A12" s="8">
        <v>6</v>
      </c>
      <c r="B12" s="9" t="s">
        <v>37</v>
      </c>
      <c r="C12" s="2" t="s">
        <v>38</v>
      </c>
      <c r="D12" s="8" t="s">
        <v>50</v>
      </c>
      <c r="E12" s="758">
        <v>151200</v>
      </c>
    </row>
    <row r="13" spans="1:5" ht="20.100000000000001" customHeight="1">
      <c r="A13" s="8">
        <v>7</v>
      </c>
      <c r="B13" s="9" t="s">
        <v>40</v>
      </c>
      <c r="C13" s="2" t="s">
        <v>41</v>
      </c>
      <c r="D13" s="13" t="s">
        <v>42</v>
      </c>
      <c r="E13" s="758">
        <v>151200</v>
      </c>
    </row>
    <row r="14" spans="1:5" ht="20.100000000000001" customHeight="1">
      <c r="A14" s="8">
        <v>8</v>
      </c>
      <c r="B14" s="12" t="s">
        <v>43</v>
      </c>
      <c r="C14" s="15" t="s">
        <v>44</v>
      </c>
      <c r="D14" s="13" t="s">
        <v>50</v>
      </c>
      <c r="E14" s="758">
        <v>151200</v>
      </c>
    </row>
    <row r="15" spans="1:5" ht="20.100000000000001" customHeight="1">
      <c r="A15" s="8">
        <v>9</v>
      </c>
      <c r="B15" s="9" t="s">
        <v>45</v>
      </c>
      <c r="C15" s="2" t="s">
        <v>46</v>
      </c>
      <c r="D15" s="8" t="s">
        <v>214</v>
      </c>
      <c r="E15" s="758">
        <v>108000</v>
      </c>
    </row>
    <row r="16" spans="1:5" ht="20.100000000000001" customHeight="1">
      <c r="A16" s="8">
        <v>10</v>
      </c>
      <c r="B16" s="9" t="s">
        <v>48</v>
      </c>
      <c r="C16" s="2" t="s">
        <v>49</v>
      </c>
      <c r="D16" s="8" t="s">
        <v>42</v>
      </c>
      <c r="E16" s="758">
        <v>151200</v>
      </c>
    </row>
    <row r="17" spans="1:5" ht="20.100000000000001" customHeight="1">
      <c r="A17" s="8">
        <v>11</v>
      </c>
      <c r="B17" s="9" t="s">
        <v>51</v>
      </c>
      <c r="C17" s="10" t="s">
        <v>52</v>
      </c>
      <c r="D17" s="8" t="s">
        <v>574</v>
      </c>
      <c r="E17" s="758">
        <v>108000</v>
      </c>
    </row>
    <row r="18" spans="1:5" ht="20.100000000000001" customHeight="1">
      <c r="A18" s="8">
        <v>12</v>
      </c>
      <c r="B18" s="16" t="s">
        <v>54</v>
      </c>
      <c r="C18" s="2" t="s">
        <v>55</v>
      </c>
      <c r="D18" s="13" t="s">
        <v>575</v>
      </c>
      <c r="E18" s="758">
        <v>108000</v>
      </c>
    </row>
    <row r="19" spans="1:5" ht="20.100000000000001" customHeight="1">
      <c r="A19" s="8">
        <v>13</v>
      </c>
      <c r="B19" s="16" t="s">
        <v>57</v>
      </c>
      <c r="C19" s="2" t="s">
        <v>58</v>
      </c>
      <c r="D19" s="13" t="s">
        <v>576</v>
      </c>
      <c r="E19" s="758">
        <v>108000</v>
      </c>
    </row>
    <row r="20" spans="1:5" ht="20.100000000000001" customHeight="1">
      <c r="A20" s="8">
        <v>14</v>
      </c>
      <c r="B20" s="16" t="s">
        <v>60</v>
      </c>
      <c r="C20" s="2" t="s">
        <v>61</v>
      </c>
      <c r="D20" s="13" t="s">
        <v>576</v>
      </c>
      <c r="E20" s="758">
        <v>108000</v>
      </c>
    </row>
    <row r="21" spans="1:5" ht="20.100000000000001" customHeight="1">
      <c r="A21" s="8">
        <v>15</v>
      </c>
      <c r="B21" s="9" t="s">
        <v>62</v>
      </c>
      <c r="C21" s="10" t="s">
        <v>63</v>
      </c>
      <c r="D21" s="13" t="s">
        <v>67</v>
      </c>
      <c r="E21" s="758">
        <v>108000</v>
      </c>
    </row>
    <row r="22" spans="1:5" ht="18.75" customHeight="1">
      <c r="A22" s="8">
        <v>16</v>
      </c>
      <c r="B22" s="9" t="s">
        <v>65</v>
      </c>
      <c r="C22" s="2" t="s">
        <v>66</v>
      </c>
      <c r="D22" s="13" t="s">
        <v>67</v>
      </c>
      <c r="E22" s="758">
        <v>108000</v>
      </c>
    </row>
    <row r="23" spans="1:5" ht="20.100000000000001" customHeight="1">
      <c r="A23" s="8">
        <v>17</v>
      </c>
      <c r="B23" s="12" t="s">
        <v>68</v>
      </c>
      <c r="C23" s="15" t="s">
        <v>69</v>
      </c>
      <c r="D23" s="8" t="s">
        <v>131</v>
      </c>
      <c r="E23" s="758">
        <v>81600</v>
      </c>
    </row>
    <row r="24" spans="1:5" ht="21.6" customHeight="1">
      <c r="A24" s="8">
        <v>18</v>
      </c>
      <c r="B24" s="9" t="s">
        <v>71</v>
      </c>
      <c r="C24" s="15" t="s">
        <v>72</v>
      </c>
      <c r="D24" s="13" t="s">
        <v>131</v>
      </c>
      <c r="E24" s="758">
        <v>81600</v>
      </c>
    </row>
    <row r="25" spans="1:5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758">
        <v>81600</v>
      </c>
    </row>
    <row r="26" spans="1:5" ht="20.100000000000001" customHeight="1">
      <c r="A26" s="8">
        <v>20</v>
      </c>
      <c r="B26" s="12" t="s">
        <v>76</v>
      </c>
      <c r="C26" s="15" t="s">
        <v>77</v>
      </c>
      <c r="D26" s="8" t="s">
        <v>75</v>
      </c>
      <c r="E26" s="758">
        <v>81600</v>
      </c>
    </row>
    <row r="27" spans="1:5" ht="18.75" customHeight="1">
      <c r="A27" s="8">
        <v>21</v>
      </c>
      <c r="B27" s="16" t="s">
        <v>79</v>
      </c>
      <c r="C27" s="10" t="s">
        <v>80</v>
      </c>
      <c r="D27" s="13" t="s">
        <v>81</v>
      </c>
      <c r="E27" s="758">
        <v>81600</v>
      </c>
    </row>
    <row r="28" spans="1:5" ht="20.100000000000001" customHeight="1">
      <c r="A28" s="8">
        <v>22</v>
      </c>
      <c r="B28" s="9" t="s">
        <v>82</v>
      </c>
      <c r="C28" s="2" t="s">
        <v>83</v>
      </c>
      <c r="D28" s="13" t="s">
        <v>81</v>
      </c>
      <c r="E28" s="758">
        <v>81600</v>
      </c>
    </row>
    <row r="29" spans="1:5" ht="18.75" customHeight="1">
      <c r="A29" s="8">
        <v>23</v>
      </c>
      <c r="B29" s="16" t="s">
        <v>84</v>
      </c>
      <c r="C29" s="10" t="s">
        <v>85</v>
      </c>
      <c r="D29" s="13" t="s">
        <v>86</v>
      </c>
      <c r="E29" s="758">
        <v>64800</v>
      </c>
    </row>
    <row r="30" spans="1:5" ht="18.75" customHeight="1">
      <c r="A30" s="8">
        <v>24</v>
      </c>
      <c r="B30" s="16" t="s">
        <v>87</v>
      </c>
      <c r="C30" s="2" t="s">
        <v>88</v>
      </c>
      <c r="D30" s="8" t="s">
        <v>99</v>
      </c>
      <c r="E30" s="758">
        <v>64800</v>
      </c>
    </row>
    <row r="31" spans="1:5" ht="18.75" customHeight="1">
      <c r="A31" s="8">
        <v>25</v>
      </c>
      <c r="B31" s="16" t="s">
        <v>89</v>
      </c>
      <c r="C31" s="2" t="s">
        <v>90</v>
      </c>
      <c r="D31" s="13" t="s">
        <v>81</v>
      </c>
      <c r="E31" s="758">
        <v>81600</v>
      </c>
    </row>
    <row r="32" spans="1:5" ht="18.75" customHeight="1">
      <c r="A32" s="8">
        <v>26</v>
      </c>
      <c r="B32" s="16" t="s">
        <v>91</v>
      </c>
      <c r="C32" s="2" t="s">
        <v>92</v>
      </c>
      <c r="D32" s="13" t="s">
        <v>81</v>
      </c>
      <c r="E32" s="758">
        <v>81600</v>
      </c>
    </row>
    <row r="33" spans="1:5" ht="18.75" customHeight="1">
      <c r="A33" s="8">
        <v>27</v>
      </c>
      <c r="B33" s="16" t="s">
        <v>93</v>
      </c>
      <c r="C33" s="2" t="s">
        <v>94</v>
      </c>
      <c r="D33" s="8" t="s">
        <v>99</v>
      </c>
      <c r="E33" s="758">
        <v>64800</v>
      </c>
    </row>
    <row r="34" spans="1:5" ht="18.75" customHeight="1">
      <c r="A34" s="8">
        <v>28</v>
      </c>
      <c r="B34" s="16" t="s">
        <v>95</v>
      </c>
      <c r="C34" s="2" t="s">
        <v>96</v>
      </c>
      <c r="D34" s="13" t="s">
        <v>81</v>
      </c>
      <c r="E34" s="758">
        <v>81600</v>
      </c>
    </row>
    <row r="35" spans="1:5" ht="18.75" customHeight="1">
      <c r="A35" s="8">
        <v>29</v>
      </c>
      <c r="B35" s="16" t="s">
        <v>97</v>
      </c>
      <c r="C35" s="2" t="s">
        <v>98</v>
      </c>
      <c r="D35" s="8" t="s">
        <v>225</v>
      </c>
      <c r="E35" s="758">
        <v>64800</v>
      </c>
    </row>
    <row r="36" spans="1:5" ht="18.75" customHeight="1">
      <c r="A36" s="8">
        <v>30</v>
      </c>
      <c r="B36" s="16" t="s">
        <v>100</v>
      </c>
      <c r="C36" s="2" t="s">
        <v>98</v>
      </c>
      <c r="D36" s="8" t="s">
        <v>225</v>
      </c>
      <c r="E36" s="758">
        <v>64800</v>
      </c>
    </row>
    <row r="37" spans="1:5" ht="18.75" customHeight="1">
      <c r="A37" s="8">
        <v>31</v>
      </c>
      <c r="B37" s="16" t="s">
        <v>101</v>
      </c>
      <c r="C37" s="2" t="s">
        <v>85</v>
      </c>
      <c r="D37" s="8" t="s">
        <v>225</v>
      </c>
      <c r="E37" s="758">
        <v>64800</v>
      </c>
    </row>
    <row r="38" spans="1:5" ht="18.75" customHeight="1">
      <c r="A38" s="8">
        <v>32</v>
      </c>
      <c r="B38" s="16" t="s">
        <v>102</v>
      </c>
      <c r="C38" s="2" t="s">
        <v>94</v>
      </c>
      <c r="D38" s="8" t="s">
        <v>225</v>
      </c>
      <c r="E38" s="758">
        <v>64800</v>
      </c>
    </row>
    <row r="39" spans="1:5" ht="18.75" customHeight="1">
      <c r="A39" s="8">
        <v>33</v>
      </c>
      <c r="B39" s="16" t="s">
        <v>103</v>
      </c>
      <c r="C39" s="10" t="s">
        <v>104</v>
      </c>
      <c r="D39" s="13" t="s">
        <v>108</v>
      </c>
      <c r="E39" s="758">
        <v>64800</v>
      </c>
    </row>
    <row r="40" spans="1:5" ht="18.75" customHeight="1">
      <c r="A40" s="8">
        <v>34</v>
      </c>
      <c r="B40" s="16" t="s">
        <v>106</v>
      </c>
      <c r="C40" s="10" t="s">
        <v>107</v>
      </c>
      <c r="D40" s="13" t="s">
        <v>111</v>
      </c>
      <c r="E40" s="760">
        <v>64800</v>
      </c>
    </row>
    <row r="41" spans="1:5" ht="20.100000000000001" customHeight="1">
      <c r="A41" s="8">
        <v>35</v>
      </c>
      <c r="B41" s="16" t="s">
        <v>109</v>
      </c>
      <c r="C41" s="10" t="s">
        <v>110</v>
      </c>
      <c r="D41" s="13" t="s">
        <v>277</v>
      </c>
      <c r="E41" s="758">
        <v>64800</v>
      </c>
    </row>
    <row r="42" spans="1:5" ht="20.100000000000001" customHeight="1">
      <c r="A42" s="8">
        <v>36</v>
      </c>
      <c r="B42" s="16" t="s">
        <v>112</v>
      </c>
      <c r="C42" s="10" t="s">
        <v>113</v>
      </c>
      <c r="D42" s="13" t="s">
        <v>277</v>
      </c>
      <c r="E42" s="758">
        <v>64800</v>
      </c>
    </row>
    <row r="43" spans="1:5" ht="20.100000000000001" customHeight="1">
      <c r="A43" s="8">
        <v>37</v>
      </c>
      <c r="B43" s="16" t="s">
        <v>114</v>
      </c>
      <c r="C43" s="10" t="s">
        <v>113</v>
      </c>
      <c r="D43" s="13" t="s">
        <v>277</v>
      </c>
      <c r="E43" s="758">
        <v>64800</v>
      </c>
    </row>
    <row r="44" spans="1:5" ht="20.100000000000001" customHeight="1">
      <c r="A44" s="8">
        <v>38</v>
      </c>
      <c r="B44" s="16" t="s">
        <v>115</v>
      </c>
      <c r="C44" s="10" t="s">
        <v>116</v>
      </c>
      <c r="D44" s="13" t="s">
        <v>277</v>
      </c>
      <c r="E44" s="758">
        <v>64800</v>
      </c>
    </row>
    <row r="45" spans="1:5" ht="20.100000000000001" customHeight="1">
      <c r="A45" s="8">
        <v>39</v>
      </c>
      <c r="B45" s="16" t="s">
        <v>117</v>
      </c>
      <c r="C45" s="10" t="s">
        <v>113</v>
      </c>
      <c r="D45" s="13" t="s">
        <v>277</v>
      </c>
      <c r="E45" s="758">
        <v>64800</v>
      </c>
    </row>
    <row r="46" spans="1:5" ht="20.100000000000001" customHeight="1">
      <c r="A46" s="8">
        <v>40</v>
      </c>
      <c r="B46" s="16" t="s">
        <v>118</v>
      </c>
      <c r="C46" s="10" t="s">
        <v>119</v>
      </c>
      <c r="D46" s="13" t="s">
        <v>277</v>
      </c>
      <c r="E46" s="758">
        <v>64800</v>
      </c>
    </row>
    <row r="47" spans="1:5" ht="26.25" customHeight="1">
      <c r="A47" s="8"/>
      <c r="B47" s="18" t="s">
        <v>120</v>
      </c>
      <c r="C47" s="19">
        <v>40</v>
      </c>
      <c r="D47" s="13"/>
      <c r="E47" s="759">
        <f>SUM(E7:E46)</f>
        <v>4579200</v>
      </c>
    </row>
    <row r="48" spans="1:5" ht="18.75" customHeight="1">
      <c r="A48" s="8"/>
      <c r="B48" s="20"/>
      <c r="C48" s="2"/>
      <c r="D48" s="13"/>
      <c r="E48" s="759"/>
    </row>
    <row r="49" spans="1:5" ht="18.75" customHeight="1">
      <c r="A49" s="8"/>
      <c r="B49" s="18" t="s">
        <v>121</v>
      </c>
      <c r="C49" s="2"/>
      <c r="D49" s="13"/>
      <c r="E49" s="758"/>
    </row>
    <row r="50" spans="1:5" ht="18.75" customHeight="1">
      <c r="A50" s="8">
        <v>1</v>
      </c>
      <c r="B50" s="16" t="s">
        <v>122</v>
      </c>
      <c r="C50" s="2" t="s">
        <v>123</v>
      </c>
      <c r="D50" s="8" t="s">
        <v>124</v>
      </c>
      <c r="E50" s="758">
        <v>324000</v>
      </c>
    </row>
    <row r="51" spans="1:5" ht="20.100000000000001" customHeight="1">
      <c r="A51" s="8">
        <v>2</v>
      </c>
      <c r="B51" s="9" t="s">
        <v>125</v>
      </c>
      <c r="C51" s="10" t="s">
        <v>126</v>
      </c>
      <c r="D51" s="13" t="s">
        <v>42</v>
      </c>
      <c r="E51" s="758">
        <v>151200</v>
      </c>
    </row>
    <row r="52" spans="1:5" ht="18.75" customHeight="1">
      <c r="A52" s="8">
        <v>3</v>
      </c>
      <c r="B52" s="16" t="s">
        <v>127</v>
      </c>
      <c r="C52" s="2" t="s">
        <v>128</v>
      </c>
      <c r="D52" s="8" t="s">
        <v>75</v>
      </c>
      <c r="E52" s="758">
        <v>81600</v>
      </c>
    </row>
    <row r="53" spans="1:5" ht="18.75" customHeight="1">
      <c r="A53" s="8">
        <v>4</v>
      </c>
      <c r="B53" s="9" t="s">
        <v>129</v>
      </c>
      <c r="C53" s="2" t="s">
        <v>130</v>
      </c>
      <c r="D53" s="13" t="s">
        <v>179</v>
      </c>
      <c r="E53" s="758">
        <v>81600</v>
      </c>
    </row>
    <row r="54" spans="1:5" ht="20.100000000000001" customHeight="1">
      <c r="A54" s="8">
        <v>5</v>
      </c>
      <c r="B54" s="16" t="s">
        <v>132</v>
      </c>
      <c r="C54" s="2" t="s">
        <v>128</v>
      </c>
      <c r="D54" s="13" t="s">
        <v>225</v>
      </c>
      <c r="E54" s="758">
        <v>64800</v>
      </c>
    </row>
    <row r="55" spans="1:5" ht="18.75" customHeight="1">
      <c r="A55" s="8">
        <v>6</v>
      </c>
      <c r="B55" s="9" t="s">
        <v>133</v>
      </c>
      <c r="C55" s="2" t="s">
        <v>134</v>
      </c>
      <c r="D55" s="13" t="s">
        <v>99</v>
      </c>
      <c r="E55" s="758">
        <v>64800</v>
      </c>
    </row>
    <row r="56" spans="1:5" ht="20.100000000000001" customHeight="1">
      <c r="A56" s="8">
        <v>7</v>
      </c>
      <c r="B56" s="16" t="s">
        <v>135</v>
      </c>
      <c r="C56" s="10" t="s">
        <v>136</v>
      </c>
      <c r="D56" s="13" t="s">
        <v>277</v>
      </c>
      <c r="E56" s="758">
        <v>64800</v>
      </c>
    </row>
    <row r="57" spans="1:5" ht="19.5" customHeight="1">
      <c r="A57" s="8"/>
      <c r="B57" s="12"/>
      <c r="C57" s="19">
        <v>7</v>
      </c>
      <c r="D57" s="8"/>
      <c r="E57" s="759">
        <f>SUM(E50:E56)</f>
        <v>832800</v>
      </c>
    </row>
    <row r="58" spans="1:5" ht="20.100000000000001" customHeight="1">
      <c r="A58" s="8"/>
      <c r="B58" s="12"/>
      <c r="C58" s="2"/>
      <c r="D58" s="8"/>
      <c r="E58" s="759"/>
    </row>
    <row r="59" spans="1:5" ht="20.100000000000001" customHeight="1">
      <c r="A59" s="8"/>
      <c r="B59" s="21" t="s">
        <v>137</v>
      </c>
      <c r="C59" s="3"/>
      <c r="D59" s="22"/>
      <c r="E59" s="759"/>
    </row>
    <row r="60" spans="1:5" ht="20.100000000000001" customHeight="1">
      <c r="A60" s="8">
        <v>1</v>
      </c>
      <c r="B60" s="9" t="s">
        <v>138</v>
      </c>
      <c r="C60" s="2" t="s">
        <v>139</v>
      </c>
      <c r="D60" s="8" t="s">
        <v>577</v>
      </c>
      <c r="E60" s="758">
        <v>324000</v>
      </c>
    </row>
    <row r="61" spans="1:5" ht="20.100000000000001" customHeight="1">
      <c r="A61" s="8">
        <v>2</v>
      </c>
      <c r="B61" s="9" t="s">
        <v>141</v>
      </c>
      <c r="C61" s="2" t="s">
        <v>142</v>
      </c>
      <c r="D61" s="8" t="s">
        <v>39</v>
      </c>
      <c r="E61" s="758">
        <v>151200</v>
      </c>
    </row>
    <row r="62" spans="1:5" ht="20.100000000000001" customHeight="1">
      <c r="A62" s="8">
        <v>3</v>
      </c>
      <c r="B62" s="9" t="s">
        <v>143</v>
      </c>
      <c r="C62" s="2" t="s">
        <v>142</v>
      </c>
      <c r="D62" s="8" t="s">
        <v>39</v>
      </c>
      <c r="E62" s="758">
        <v>151200</v>
      </c>
    </row>
    <row r="63" spans="1:5" ht="20.100000000000001" customHeight="1">
      <c r="A63" s="8">
        <v>4</v>
      </c>
      <c r="B63" s="9" t="s">
        <v>144</v>
      </c>
      <c r="C63" s="2" t="s">
        <v>142</v>
      </c>
      <c r="D63" s="8" t="s">
        <v>50</v>
      </c>
      <c r="E63" s="758">
        <v>151200</v>
      </c>
    </row>
    <row r="64" spans="1:5" ht="20.100000000000001" customHeight="1">
      <c r="A64" s="8">
        <v>5</v>
      </c>
      <c r="B64" s="12" t="s">
        <v>145</v>
      </c>
      <c r="C64" s="2" t="s">
        <v>142</v>
      </c>
      <c r="D64" s="8" t="s">
        <v>42</v>
      </c>
      <c r="E64" s="758">
        <v>151200</v>
      </c>
    </row>
    <row r="65" spans="1:5" customFormat="1" ht="20.100000000000001" customHeight="1">
      <c r="A65" s="8">
        <v>6</v>
      </c>
      <c r="B65" s="12" t="s">
        <v>146</v>
      </c>
      <c r="C65" s="2" t="s">
        <v>142</v>
      </c>
      <c r="D65" s="8" t="s">
        <v>42</v>
      </c>
      <c r="E65" s="758">
        <v>151200</v>
      </c>
    </row>
    <row r="66" spans="1:5" ht="20.100000000000001" customHeight="1">
      <c r="A66" s="8">
        <v>7</v>
      </c>
      <c r="B66" s="16" t="s">
        <v>147</v>
      </c>
      <c r="C66" s="2" t="s">
        <v>148</v>
      </c>
      <c r="D66" s="13" t="s">
        <v>179</v>
      </c>
      <c r="E66" s="763">
        <v>81600</v>
      </c>
    </row>
    <row r="67" spans="1:5" ht="20.100000000000001" customHeight="1">
      <c r="A67" s="8">
        <v>8</v>
      </c>
      <c r="B67" s="9" t="s">
        <v>149</v>
      </c>
      <c r="C67" s="2" t="s">
        <v>150</v>
      </c>
      <c r="D67" s="8" t="s">
        <v>78</v>
      </c>
      <c r="E67" s="763">
        <v>81600</v>
      </c>
    </row>
    <row r="68" spans="1:5" ht="20.100000000000001" customHeight="1">
      <c r="A68" s="8">
        <v>9</v>
      </c>
      <c r="B68" s="9" t="s">
        <v>152</v>
      </c>
      <c r="C68" s="2" t="s">
        <v>83</v>
      </c>
      <c r="D68" s="8" t="s">
        <v>81</v>
      </c>
      <c r="E68" s="763">
        <v>81600</v>
      </c>
    </row>
    <row r="69" spans="1:5" ht="20.100000000000001" customHeight="1">
      <c r="A69" s="8">
        <v>10</v>
      </c>
      <c r="B69" s="9" t="s">
        <v>153</v>
      </c>
      <c r="C69" s="2" t="s">
        <v>150</v>
      </c>
      <c r="D69" s="8" t="s">
        <v>86</v>
      </c>
      <c r="E69" s="758">
        <v>64800</v>
      </c>
    </row>
    <row r="70" spans="1:5" ht="20.100000000000001" customHeight="1">
      <c r="A70" s="8">
        <v>11</v>
      </c>
      <c r="B70" s="9" t="s">
        <v>155</v>
      </c>
      <c r="C70" s="2" t="s">
        <v>150</v>
      </c>
      <c r="D70" s="8" t="s">
        <v>86</v>
      </c>
      <c r="E70" s="758">
        <v>64800</v>
      </c>
    </row>
    <row r="71" spans="1:5" ht="18.75" customHeight="1">
      <c r="A71" s="8">
        <v>12</v>
      </c>
      <c r="B71" s="16" t="s">
        <v>156</v>
      </c>
      <c r="C71" s="2" t="s">
        <v>150</v>
      </c>
      <c r="D71" s="8" t="s">
        <v>225</v>
      </c>
      <c r="E71" s="758">
        <v>64800</v>
      </c>
    </row>
    <row r="72" spans="1:5" ht="25.5" customHeight="1">
      <c r="A72" s="8"/>
      <c r="B72" s="18" t="s">
        <v>120</v>
      </c>
      <c r="C72" s="19">
        <v>12</v>
      </c>
      <c r="D72" s="19"/>
      <c r="E72" s="761">
        <f>SUM(E60:E71)</f>
        <v>1519200</v>
      </c>
    </row>
    <row r="73" spans="1:5" ht="20.100000000000001" customHeight="1">
      <c r="A73" s="8"/>
      <c r="B73" s="20"/>
      <c r="C73" s="19"/>
      <c r="D73" s="19"/>
      <c r="E73" s="762"/>
    </row>
    <row r="74" spans="1:5" ht="20.100000000000001" customHeight="1">
      <c r="A74" s="8"/>
      <c r="B74" s="18" t="s">
        <v>157</v>
      </c>
      <c r="C74" s="19"/>
      <c r="D74" s="19"/>
      <c r="E74" s="762"/>
    </row>
    <row r="75" spans="1:5" ht="20.100000000000001" customHeight="1">
      <c r="A75" s="8">
        <v>1</v>
      </c>
      <c r="B75" s="9" t="s">
        <v>158</v>
      </c>
      <c r="C75" s="10" t="s">
        <v>159</v>
      </c>
      <c r="D75" s="13" t="s">
        <v>124</v>
      </c>
      <c r="E75" s="758">
        <v>324000</v>
      </c>
    </row>
    <row r="76" spans="1:5" ht="20.100000000000001" customHeight="1">
      <c r="A76" s="8">
        <v>2</v>
      </c>
      <c r="B76" s="9" t="s">
        <v>160</v>
      </c>
      <c r="C76" s="10" t="s">
        <v>161</v>
      </c>
      <c r="D76" s="13" t="s">
        <v>162</v>
      </c>
      <c r="E76" s="758">
        <v>151200</v>
      </c>
    </row>
    <row r="77" spans="1:5" ht="20.100000000000001" customHeight="1">
      <c r="A77" s="8"/>
      <c r="B77" s="18" t="s">
        <v>120</v>
      </c>
      <c r="C77" s="19">
        <v>2</v>
      </c>
      <c r="D77" s="19"/>
      <c r="E77" s="761">
        <f>SUM(E75:E76)</f>
        <v>475200</v>
      </c>
    </row>
    <row r="78" spans="1:5" ht="20.100000000000001" customHeight="1">
      <c r="A78" s="8"/>
      <c r="B78" s="18"/>
      <c r="C78" s="19"/>
      <c r="D78" s="19"/>
      <c r="E78" s="762"/>
    </row>
    <row r="79" spans="1:5" ht="20.100000000000001" customHeight="1">
      <c r="A79" s="8"/>
      <c r="B79" s="18" t="s">
        <v>163</v>
      </c>
      <c r="C79" s="19"/>
      <c r="D79" s="19"/>
      <c r="E79" s="762"/>
    </row>
    <row r="80" spans="1:5" ht="20.100000000000001" customHeight="1">
      <c r="A80" s="8">
        <v>1</v>
      </c>
      <c r="B80" s="12" t="s">
        <v>164</v>
      </c>
      <c r="C80" s="2" t="s">
        <v>165</v>
      </c>
      <c r="D80" s="8" t="s">
        <v>36</v>
      </c>
      <c r="E80" s="758">
        <v>216000</v>
      </c>
    </row>
    <row r="81" spans="1:5" ht="20.100000000000001" customHeight="1">
      <c r="A81" s="8">
        <v>2</v>
      </c>
      <c r="B81" s="9" t="s">
        <v>166</v>
      </c>
      <c r="C81" s="2" t="s">
        <v>52</v>
      </c>
      <c r="D81" s="8" t="s">
        <v>214</v>
      </c>
      <c r="E81" s="758">
        <v>108000</v>
      </c>
    </row>
    <row r="82" spans="1:5" ht="20.100000000000001" customHeight="1">
      <c r="A82" s="8">
        <v>3</v>
      </c>
      <c r="B82" s="16" t="s">
        <v>167</v>
      </c>
      <c r="C82" s="15" t="s">
        <v>217</v>
      </c>
      <c r="D82" s="13" t="s">
        <v>67</v>
      </c>
      <c r="E82" s="758">
        <v>108000</v>
      </c>
    </row>
    <row r="83" spans="1:5" ht="20.100000000000001" customHeight="1">
      <c r="A83" s="8">
        <v>4</v>
      </c>
      <c r="B83" s="16" t="s">
        <v>169</v>
      </c>
      <c r="C83" s="15" t="s">
        <v>217</v>
      </c>
      <c r="D83" s="13" t="s">
        <v>67</v>
      </c>
      <c r="E83" s="758">
        <v>108000</v>
      </c>
    </row>
    <row r="84" spans="1:5" ht="20.100000000000001" customHeight="1">
      <c r="A84" s="8">
        <v>5</v>
      </c>
      <c r="B84" s="9" t="s">
        <v>170</v>
      </c>
      <c r="C84" s="2" t="s">
        <v>150</v>
      </c>
      <c r="D84" s="8" t="s">
        <v>70</v>
      </c>
      <c r="E84" s="758">
        <v>81600</v>
      </c>
    </row>
    <row r="85" spans="1:5" ht="20.100000000000001" customHeight="1">
      <c r="A85" s="8">
        <v>6</v>
      </c>
      <c r="B85" s="9" t="s">
        <v>171</v>
      </c>
      <c r="C85" s="15" t="s">
        <v>72</v>
      </c>
      <c r="D85" s="8" t="s">
        <v>70</v>
      </c>
      <c r="E85" s="758">
        <v>81600</v>
      </c>
    </row>
    <row r="86" spans="1:5" ht="20.100000000000001" customHeight="1">
      <c r="A86" s="8">
        <v>7</v>
      </c>
      <c r="B86" s="9" t="s">
        <v>173</v>
      </c>
      <c r="C86" s="15" t="s">
        <v>72</v>
      </c>
      <c r="D86" s="8" t="s">
        <v>70</v>
      </c>
      <c r="E86" s="758">
        <v>81600</v>
      </c>
    </row>
    <row r="87" spans="1:5" ht="20.100000000000001" customHeight="1">
      <c r="A87" s="8">
        <v>8</v>
      </c>
      <c r="B87" s="9" t="s">
        <v>174</v>
      </c>
      <c r="C87" s="2" t="s">
        <v>175</v>
      </c>
      <c r="D87" s="13" t="s">
        <v>67</v>
      </c>
      <c r="E87" s="758">
        <v>108000</v>
      </c>
    </row>
    <row r="88" spans="1:5" ht="20.100000000000001" customHeight="1">
      <c r="A88" s="8">
        <v>9</v>
      </c>
      <c r="B88" s="12" t="s">
        <v>176</v>
      </c>
      <c r="C88" s="15" t="s">
        <v>177</v>
      </c>
      <c r="D88" s="8" t="s">
        <v>179</v>
      </c>
      <c r="E88" s="758">
        <v>81600</v>
      </c>
    </row>
    <row r="89" spans="1:5" ht="21.6" customHeight="1">
      <c r="A89" s="8">
        <v>10</v>
      </c>
      <c r="B89" s="9" t="s">
        <v>178</v>
      </c>
      <c r="C89" s="2" t="s">
        <v>150</v>
      </c>
      <c r="D89" s="8" t="s">
        <v>78</v>
      </c>
      <c r="E89" s="758">
        <v>81600</v>
      </c>
    </row>
    <row r="90" spans="1:5" ht="18.75" customHeight="1">
      <c r="A90" s="8">
        <v>11</v>
      </c>
      <c r="B90" s="16" t="s">
        <v>180</v>
      </c>
      <c r="C90" s="2" t="s">
        <v>181</v>
      </c>
      <c r="D90" s="8" t="s">
        <v>225</v>
      </c>
      <c r="E90" s="758">
        <v>64800</v>
      </c>
    </row>
    <row r="91" spans="1:5" ht="27" customHeight="1">
      <c r="A91" s="8"/>
      <c r="B91" s="18" t="s">
        <v>120</v>
      </c>
      <c r="C91" s="19">
        <v>11</v>
      </c>
      <c r="D91" s="19"/>
      <c r="E91" s="761">
        <f>SUM(E80:E90)</f>
        <v>1120800</v>
      </c>
    </row>
    <row r="92" spans="1:5" ht="20.100000000000001" customHeight="1">
      <c r="A92" s="8"/>
      <c r="B92" s="20"/>
      <c r="C92" s="19"/>
      <c r="D92" s="19"/>
      <c r="E92" s="762"/>
    </row>
    <row r="93" spans="1:5" ht="20.100000000000001" customHeight="1">
      <c r="A93" s="8"/>
      <c r="B93" s="18" t="s">
        <v>182</v>
      </c>
      <c r="C93" s="19"/>
      <c r="D93" s="19"/>
      <c r="E93" s="762"/>
    </row>
    <row r="94" spans="1:5" ht="20.100000000000001" customHeight="1">
      <c r="A94" s="8">
        <v>1</v>
      </c>
      <c r="B94" s="9" t="s">
        <v>183</v>
      </c>
      <c r="C94" s="2" t="s">
        <v>184</v>
      </c>
      <c r="D94" s="8" t="s">
        <v>124</v>
      </c>
      <c r="E94" s="758">
        <v>324000</v>
      </c>
    </row>
    <row r="95" spans="1:5" ht="20.100000000000001" customHeight="1">
      <c r="A95" s="8">
        <v>2</v>
      </c>
      <c r="B95" s="9" t="s">
        <v>185</v>
      </c>
      <c r="C95" s="2" t="s">
        <v>186</v>
      </c>
      <c r="D95" s="8" t="s">
        <v>42</v>
      </c>
      <c r="E95" s="758">
        <v>151200</v>
      </c>
    </row>
    <row r="96" spans="1:5" ht="20.100000000000001" customHeight="1">
      <c r="A96" s="8">
        <v>3</v>
      </c>
      <c r="B96" s="9" t="s">
        <v>187</v>
      </c>
      <c r="C96" s="2" t="s">
        <v>188</v>
      </c>
      <c r="D96" s="8" t="s">
        <v>42</v>
      </c>
      <c r="E96" s="758">
        <v>151200</v>
      </c>
    </row>
    <row r="97" spans="1:5" ht="20.100000000000001" customHeight="1">
      <c r="A97" s="8">
        <v>4</v>
      </c>
      <c r="B97" s="9" t="s">
        <v>189</v>
      </c>
      <c r="C97" s="2" t="s">
        <v>190</v>
      </c>
      <c r="D97" s="13" t="s">
        <v>47</v>
      </c>
      <c r="E97" s="758">
        <v>108000</v>
      </c>
    </row>
    <row r="98" spans="1:5" ht="20.100000000000001" customHeight="1">
      <c r="A98" s="8">
        <v>5</v>
      </c>
      <c r="B98" s="9" t="s">
        <v>192</v>
      </c>
      <c r="C98" s="10" t="s">
        <v>193</v>
      </c>
      <c r="D98" s="13" t="s">
        <v>67</v>
      </c>
      <c r="E98" s="758">
        <v>108000</v>
      </c>
    </row>
    <row r="99" spans="1:5" ht="20.100000000000001" customHeight="1">
      <c r="A99" s="8">
        <v>6</v>
      </c>
      <c r="B99" s="9" t="s">
        <v>194</v>
      </c>
      <c r="C99" s="2" t="s">
        <v>195</v>
      </c>
      <c r="D99" s="13" t="s">
        <v>67</v>
      </c>
      <c r="E99" s="758">
        <v>108000</v>
      </c>
    </row>
    <row r="100" spans="1:5" ht="20.100000000000001" customHeight="1">
      <c r="A100" s="8">
        <v>7</v>
      </c>
      <c r="B100" s="9" t="s">
        <v>196</v>
      </c>
      <c r="C100" s="2" t="s">
        <v>197</v>
      </c>
      <c r="D100" s="8" t="s">
        <v>131</v>
      </c>
      <c r="E100" s="758">
        <v>81600</v>
      </c>
    </row>
    <row r="101" spans="1:5" ht="20.100000000000001" customHeight="1">
      <c r="A101" s="8">
        <v>8</v>
      </c>
      <c r="B101" s="9" t="s">
        <v>198</v>
      </c>
      <c r="C101" s="2" t="s">
        <v>199</v>
      </c>
      <c r="D101" s="8" t="s">
        <v>81</v>
      </c>
      <c r="E101" s="758">
        <v>81600</v>
      </c>
    </row>
    <row r="102" spans="1:5" ht="20.100000000000001" customHeight="1">
      <c r="A102" s="8">
        <v>9</v>
      </c>
      <c r="B102" s="9" t="s">
        <v>200</v>
      </c>
      <c r="C102" s="2" t="s">
        <v>181</v>
      </c>
      <c r="D102" s="8" t="s">
        <v>99</v>
      </c>
      <c r="E102" s="758">
        <v>64800</v>
      </c>
    </row>
    <row r="103" spans="1:5" ht="18.75" customHeight="1">
      <c r="A103" s="8">
        <v>10</v>
      </c>
      <c r="B103" s="16" t="s">
        <v>201</v>
      </c>
      <c r="C103" s="2" t="s">
        <v>181</v>
      </c>
      <c r="D103" s="8" t="s">
        <v>225</v>
      </c>
      <c r="E103" s="758">
        <v>64800</v>
      </c>
    </row>
    <row r="104" spans="1:5" ht="20.100000000000001" customHeight="1">
      <c r="A104" s="8">
        <v>11</v>
      </c>
      <c r="B104" s="9" t="s">
        <v>202</v>
      </c>
      <c r="C104" s="2" t="s">
        <v>203</v>
      </c>
      <c r="D104" s="8" t="s">
        <v>108</v>
      </c>
      <c r="E104" s="758">
        <v>64800</v>
      </c>
    </row>
    <row r="105" spans="1:5" ht="20.100000000000001" customHeight="1">
      <c r="A105" s="8"/>
      <c r="B105" s="18" t="s">
        <v>120</v>
      </c>
      <c r="C105" s="19">
        <v>11</v>
      </c>
      <c r="D105" s="19"/>
      <c r="E105" s="761">
        <f>SUM(E94:E104)</f>
        <v>1308000</v>
      </c>
    </row>
    <row r="106" spans="1:5" ht="20.100000000000001" customHeight="1">
      <c r="A106" s="8"/>
      <c r="B106" s="18"/>
      <c r="C106" s="19"/>
      <c r="D106" s="19"/>
      <c r="E106" s="762"/>
    </row>
    <row r="107" spans="1:5" ht="20.100000000000001" customHeight="1">
      <c r="A107" s="8"/>
      <c r="B107" s="18" t="s">
        <v>204</v>
      </c>
      <c r="C107" s="23"/>
      <c r="D107" s="19"/>
      <c r="E107" s="762"/>
    </row>
    <row r="108" spans="1:5" ht="20.100000000000001" customHeight="1">
      <c r="A108" s="8">
        <v>1</v>
      </c>
      <c r="B108" s="9" t="s">
        <v>205</v>
      </c>
      <c r="C108" s="2" t="s">
        <v>206</v>
      </c>
      <c r="D108" s="8" t="s">
        <v>577</v>
      </c>
      <c r="E108" s="758">
        <v>324000</v>
      </c>
    </row>
    <row r="109" spans="1:5" ht="20.100000000000001" customHeight="1">
      <c r="A109" s="8">
        <v>2</v>
      </c>
      <c r="B109" s="9" t="s">
        <v>207</v>
      </c>
      <c r="C109" s="2" t="s">
        <v>208</v>
      </c>
      <c r="D109" s="8" t="s">
        <v>578</v>
      </c>
      <c r="E109" s="758">
        <v>216000</v>
      </c>
    </row>
    <row r="110" spans="1:5" ht="20.100000000000001" customHeight="1">
      <c r="A110" s="8">
        <v>3</v>
      </c>
      <c r="B110" s="9" t="s">
        <v>210</v>
      </c>
      <c r="C110" s="2" t="s">
        <v>142</v>
      </c>
      <c r="D110" s="8" t="s">
        <v>50</v>
      </c>
      <c r="E110" s="758">
        <v>151200</v>
      </c>
    </row>
    <row r="111" spans="1:5" ht="21.6" customHeight="1">
      <c r="A111" s="8">
        <v>4</v>
      </c>
      <c r="B111" s="9" t="s">
        <v>211</v>
      </c>
      <c r="C111" s="2" t="s">
        <v>52</v>
      </c>
      <c r="D111" s="13" t="s">
        <v>214</v>
      </c>
      <c r="E111" s="758">
        <v>108000</v>
      </c>
    </row>
    <row r="112" spans="1:5" ht="21.6" customHeight="1">
      <c r="A112" s="8">
        <v>5</v>
      </c>
      <c r="B112" s="9" t="s">
        <v>212</v>
      </c>
      <c r="C112" s="2" t="s">
        <v>52</v>
      </c>
      <c r="D112" s="13" t="s">
        <v>214</v>
      </c>
      <c r="E112" s="758">
        <v>108000</v>
      </c>
    </row>
    <row r="113" spans="1:5" ht="21.6" customHeight="1">
      <c r="A113" s="8">
        <v>6</v>
      </c>
      <c r="B113" s="9" t="s">
        <v>213</v>
      </c>
      <c r="C113" s="10" t="s">
        <v>52</v>
      </c>
      <c r="D113" s="13" t="s">
        <v>53</v>
      </c>
      <c r="E113" s="758">
        <v>108000</v>
      </c>
    </row>
    <row r="114" spans="1:5" ht="21.6" customHeight="1">
      <c r="A114" s="8">
        <v>7</v>
      </c>
      <c r="B114" s="9" t="s">
        <v>215</v>
      </c>
      <c r="C114" s="15" t="s">
        <v>72</v>
      </c>
      <c r="D114" s="13" t="s">
        <v>70</v>
      </c>
      <c r="E114" s="758">
        <v>81600</v>
      </c>
    </row>
    <row r="115" spans="1:5" ht="21.6" customHeight="1">
      <c r="A115" s="8">
        <v>8</v>
      </c>
      <c r="B115" s="9" t="s">
        <v>216</v>
      </c>
      <c r="C115" s="15" t="s">
        <v>217</v>
      </c>
      <c r="D115" s="13" t="s">
        <v>64</v>
      </c>
      <c r="E115" s="758">
        <v>108000</v>
      </c>
    </row>
    <row r="116" spans="1:5" ht="20.100000000000001" customHeight="1">
      <c r="A116" s="8">
        <v>9</v>
      </c>
      <c r="B116" s="16" t="s">
        <v>219</v>
      </c>
      <c r="C116" s="2" t="s">
        <v>148</v>
      </c>
      <c r="D116" s="13" t="s">
        <v>179</v>
      </c>
      <c r="E116" s="763">
        <v>81600</v>
      </c>
    </row>
    <row r="117" spans="1:5" ht="21.6" customHeight="1">
      <c r="A117" s="8">
        <v>10</v>
      </c>
      <c r="B117" s="9" t="s">
        <v>220</v>
      </c>
      <c r="C117" s="2" t="s">
        <v>221</v>
      </c>
      <c r="D117" s="8" t="s">
        <v>78</v>
      </c>
      <c r="E117" s="763">
        <v>81600</v>
      </c>
    </row>
    <row r="118" spans="1:5" ht="18.75" customHeight="1">
      <c r="A118" s="8">
        <v>11</v>
      </c>
      <c r="B118" s="16" t="s">
        <v>222</v>
      </c>
      <c r="C118" s="2" t="s">
        <v>150</v>
      </c>
      <c r="D118" s="8" t="s">
        <v>225</v>
      </c>
      <c r="E118" s="758">
        <v>64800</v>
      </c>
    </row>
    <row r="119" spans="1:5" ht="18.75" customHeight="1">
      <c r="A119" s="8">
        <v>12</v>
      </c>
      <c r="B119" s="16" t="s">
        <v>223</v>
      </c>
      <c r="C119" s="2" t="s">
        <v>150</v>
      </c>
      <c r="D119" s="8" t="s">
        <v>225</v>
      </c>
      <c r="E119" s="758">
        <v>64800</v>
      </c>
    </row>
    <row r="120" spans="1:5" ht="21.6" customHeight="1">
      <c r="A120" s="8">
        <v>13</v>
      </c>
      <c r="B120" s="9" t="s">
        <v>224</v>
      </c>
      <c r="C120" s="15" t="s">
        <v>554</v>
      </c>
      <c r="D120" s="13" t="s">
        <v>105</v>
      </c>
      <c r="E120" s="758">
        <v>64800</v>
      </c>
    </row>
    <row r="121" spans="1:5" ht="20.100000000000001" customHeight="1">
      <c r="A121" s="8"/>
      <c r="B121" s="18" t="s">
        <v>120</v>
      </c>
      <c r="C121" s="19">
        <v>13</v>
      </c>
      <c r="D121" s="19"/>
      <c r="E121" s="761">
        <f>SUM(E108:E120)</f>
        <v>1562400</v>
      </c>
    </row>
    <row r="122" spans="1:5" ht="20.100000000000001" customHeight="1">
      <c r="A122" s="8"/>
      <c r="B122" s="20"/>
      <c r="C122" s="19"/>
      <c r="D122" s="19"/>
      <c r="E122" s="762"/>
    </row>
    <row r="123" spans="1:5" ht="20.100000000000001" customHeight="1">
      <c r="A123" s="8"/>
      <c r="B123" s="18" t="s">
        <v>226</v>
      </c>
      <c r="C123" s="19"/>
      <c r="D123" s="19"/>
      <c r="E123" s="762"/>
    </row>
    <row r="124" spans="1:5" ht="20.100000000000001" customHeight="1">
      <c r="A124" s="8">
        <v>1</v>
      </c>
      <c r="B124" s="12" t="s">
        <v>227</v>
      </c>
      <c r="C124" s="2" t="s">
        <v>228</v>
      </c>
      <c r="D124" s="14" t="s">
        <v>140</v>
      </c>
      <c r="E124" s="758">
        <v>324000</v>
      </c>
    </row>
    <row r="125" spans="1:5" ht="20.100000000000001" customHeight="1">
      <c r="A125" s="8">
        <v>2</v>
      </c>
      <c r="B125" s="9" t="s">
        <v>229</v>
      </c>
      <c r="C125" s="2" t="s">
        <v>230</v>
      </c>
      <c r="D125" s="13" t="s">
        <v>47</v>
      </c>
      <c r="E125" s="758">
        <v>108000</v>
      </c>
    </row>
    <row r="126" spans="1:5" ht="20.100000000000001" customHeight="1">
      <c r="A126" s="8">
        <v>3</v>
      </c>
      <c r="B126" s="9" t="s">
        <v>231</v>
      </c>
      <c r="C126" s="10" t="s">
        <v>232</v>
      </c>
      <c r="D126" s="13" t="s">
        <v>64</v>
      </c>
      <c r="E126" s="758">
        <v>108000</v>
      </c>
    </row>
    <row r="127" spans="1:5" ht="20.100000000000001" customHeight="1">
      <c r="A127" s="8">
        <v>4</v>
      </c>
      <c r="B127" s="9" t="s">
        <v>233</v>
      </c>
      <c r="C127" s="2" t="s">
        <v>234</v>
      </c>
      <c r="D127" s="13" t="s">
        <v>67</v>
      </c>
      <c r="E127" s="758">
        <v>108000</v>
      </c>
    </row>
    <row r="128" spans="1:5" ht="20.100000000000001" customHeight="1">
      <c r="A128" s="8">
        <v>5</v>
      </c>
      <c r="B128" s="9" t="s">
        <v>235</v>
      </c>
      <c r="C128" s="2" t="s">
        <v>234</v>
      </c>
      <c r="D128" s="13" t="s">
        <v>67</v>
      </c>
      <c r="E128" s="758">
        <v>108000</v>
      </c>
    </row>
    <row r="129" spans="1:5" ht="20.100000000000001" customHeight="1">
      <c r="A129" s="8">
        <v>6</v>
      </c>
      <c r="B129" s="9" t="s">
        <v>236</v>
      </c>
      <c r="C129" s="2" t="s">
        <v>199</v>
      </c>
      <c r="D129" s="13" t="s">
        <v>78</v>
      </c>
      <c r="E129" s="763">
        <v>81600</v>
      </c>
    </row>
    <row r="130" spans="1:5" ht="20.100000000000001" customHeight="1">
      <c r="A130" s="8">
        <v>7</v>
      </c>
      <c r="B130" s="16" t="s">
        <v>237</v>
      </c>
      <c r="C130" s="10" t="s">
        <v>238</v>
      </c>
      <c r="D130" s="13" t="s">
        <v>81</v>
      </c>
      <c r="E130" s="763">
        <v>81600</v>
      </c>
    </row>
    <row r="131" spans="1:5" ht="20.100000000000001" customHeight="1">
      <c r="A131" s="2"/>
      <c r="B131" s="18" t="s">
        <v>120</v>
      </c>
      <c r="C131" s="19">
        <v>7</v>
      </c>
      <c r="D131" s="24"/>
      <c r="E131" s="761">
        <f>SUM(E124:E130)</f>
        <v>919200</v>
      </c>
    </row>
    <row r="132" spans="1:5" ht="20.100000000000001" customHeight="1">
      <c r="A132" s="2"/>
      <c r="B132" s="20"/>
      <c r="C132" s="19"/>
      <c r="D132" s="24"/>
      <c r="E132" s="762"/>
    </row>
    <row r="133" spans="1:5" ht="20.100000000000001" customHeight="1">
      <c r="A133" s="2"/>
      <c r="B133" s="18" t="s">
        <v>239</v>
      </c>
      <c r="C133" s="2"/>
      <c r="D133" s="2"/>
      <c r="E133" s="764"/>
    </row>
    <row r="134" spans="1:5" ht="20.100000000000001" customHeight="1">
      <c r="A134" s="2">
        <v>1</v>
      </c>
      <c r="B134" s="9" t="s">
        <v>240</v>
      </c>
      <c r="C134" s="10" t="s">
        <v>241</v>
      </c>
      <c r="D134" s="13" t="s">
        <v>124</v>
      </c>
      <c r="E134" s="758">
        <v>324000</v>
      </c>
    </row>
    <row r="135" spans="1:5" ht="20.100000000000001" customHeight="1">
      <c r="A135" s="2">
        <v>2</v>
      </c>
      <c r="B135" s="9" t="s">
        <v>242</v>
      </c>
      <c r="C135" s="2" t="s">
        <v>243</v>
      </c>
      <c r="D135" s="14" t="s">
        <v>36</v>
      </c>
      <c r="E135" s="758">
        <v>216000</v>
      </c>
    </row>
    <row r="136" spans="1:5" ht="20.100000000000001" customHeight="1">
      <c r="A136" s="2">
        <v>3</v>
      </c>
      <c r="B136" s="9" t="s">
        <v>244</v>
      </c>
      <c r="C136" s="2" t="s">
        <v>245</v>
      </c>
      <c r="D136" s="8" t="s">
        <v>574</v>
      </c>
      <c r="E136" s="758">
        <v>108000</v>
      </c>
    </row>
    <row r="137" spans="1:5" ht="20.100000000000001" customHeight="1">
      <c r="A137" s="2">
        <v>4</v>
      </c>
      <c r="B137" s="9" t="s">
        <v>246</v>
      </c>
      <c r="C137" s="2" t="s">
        <v>245</v>
      </c>
      <c r="D137" s="8" t="s">
        <v>574</v>
      </c>
      <c r="E137" s="758">
        <v>108000</v>
      </c>
    </row>
    <row r="138" spans="1:5" ht="20.100000000000001" customHeight="1">
      <c r="A138" s="2">
        <v>5</v>
      </c>
      <c r="B138" s="16" t="s">
        <v>247</v>
      </c>
      <c r="C138" s="2" t="s">
        <v>248</v>
      </c>
      <c r="D138" s="13" t="s">
        <v>179</v>
      </c>
      <c r="E138" s="763">
        <v>81600</v>
      </c>
    </row>
    <row r="139" spans="1:5" ht="20.100000000000001" customHeight="1">
      <c r="A139" s="2">
        <v>6</v>
      </c>
      <c r="B139" s="9" t="s">
        <v>249</v>
      </c>
      <c r="C139" s="2" t="s">
        <v>250</v>
      </c>
      <c r="D139" s="13" t="s">
        <v>579</v>
      </c>
      <c r="E139" s="763">
        <v>64800</v>
      </c>
    </row>
    <row r="140" spans="1:5" ht="20.100000000000001" customHeight="1">
      <c r="A140" s="2">
        <v>7</v>
      </c>
      <c r="B140" s="16" t="s">
        <v>252</v>
      </c>
      <c r="C140" s="2" t="s">
        <v>250</v>
      </c>
      <c r="D140" s="8" t="s">
        <v>225</v>
      </c>
      <c r="E140" s="763">
        <v>64800</v>
      </c>
    </row>
    <row r="141" spans="1:5" ht="20.100000000000001" customHeight="1">
      <c r="A141" s="2">
        <v>8</v>
      </c>
      <c r="B141" s="16" t="s">
        <v>253</v>
      </c>
      <c r="C141" s="2" t="s">
        <v>250</v>
      </c>
      <c r="D141" s="13" t="s">
        <v>105</v>
      </c>
      <c r="E141" s="763">
        <v>64800</v>
      </c>
    </row>
    <row r="142" spans="1:5" ht="20.100000000000001" customHeight="1">
      <c r="A142" s="2">
        <v>9</v>
      </c>
      <c r="B142" s="16" t="s">
        <v>254</v>
      </c>
      <c r="C142" s="2" t="s">
        <v>250</v>
      </c>
      <c r="D142" s="13" t="s">
        <v>277</v>
      </c>
      <c r="E142" s="763">
        <v>64800</v>
      </c>
    </row>
    <row r="143" spans="1:5" ht="20.100000000000001" customHeight="1">
      <c r="A143" s="2">
        <v>10</v>
      </c>
      <c r="B143" s="16" t="s">
        <v>255</v>
      </c>
      <c r="C143" s="2" t="s">
        <v>250</v>
      </c>
      <c r="D143" s="13" t="s">
        <v>277</v>
      </c>
      <c r="E143" s="763">
        <v>64800</v>
      </c>
    </row>
    <row r="144" spans="1:5" ht="20.100000000000001" customHeight="1">
      <c r="A144" s="2">
        <v>11</v>
      </c>
      <c r="B144" s="16" t="s">
        <v>256</v>
      </c>
      <c r="C144" s="2" t="s">
        <v>250</v>
      </c>
      <c r="D144" s="13" t="s">
        <v>277</v>
      </c>
      <c r="E144" s="763">
        <v>64800</v>
      </c>
    </row>
    <row r="145" spans="1:5" ht="25.5" customHeight="1">
      <c r="A145" s="2"/>
      <c r="B145" s="18" t="s">
        <v>120</v>
      </c>
      <c r="C145" s="19">
        <v>11</v>
      </c>
      <c r="D145" s="2"/>
      <c r="E145" s="765">
        <f>SUM(E134:E144)</f>
        <v>1226400</v>
      </c>
    </row>
    <row r="146" spans="1:5" ht="20.100000000000001" customHeight="1">
      <c r="A146" s="2"/>
      <c r="B146" s="18"/>
      <c r="C146" s="19"/>
      <c r="D146" s="2"/>
      <c r="E146" s="765"/>
    </row>
    <row r="147" spans="1:5" ht="20.100000000000001" customHeight="1">
      <c r="A147" s="8"/>
      <c r="B147" s="18" t="s">
        <v>257</v>
      </c>
      <c r="C147" s="19"/>
      <c r="D147" s="19"/>
      <c r="E147" s="762"/>
    </row>
    <row r="148" spans="1:5" ht="20.100000000000001" customHeight="1">
      <c r="A148" s="8">
        <v>1</v>
      </c>
      <c r="B148" s="9" t="s">
        <v>258</v>
      </c>
      <c r="C148" s="15" t="s">
        <v>142</v>
      </c>
      <c r="D148" s="8" t="s">
        <v>42</v>
      </c>
      <c r="E148" s="758">
        <v>151600</v>
      </c>
    </row>
    <row r="149" spans="1:5" ht="18.75" customHeight="1">
      <c r="A149" s="8">
        <v>2</v>
      </c>
      <c r="B149" s="9" t="s">
        <v>259</v>
      </c>
      <c r="C149" s="2" t="s">
        <v>260</v>
      </c>
      <c r="D149" s="13" t="s">
        <v>172</v>
      </c>
      <c r="E149" s="758">
        <v>81600</v>
      </c>
    </row>
    <row r="150" spans="1:5" ht="18.75" customHeight="1">
      <c r="A150" s="8">
        <v>3</v>
      </c>
      <c r="B150" s="9" t="s">
        <v>484</v>
      </c>
      <c r="C150" s="2" t="s">
        <v>72</v>
      </c>
      <c r="D150" s="13" t="s">
        <v>70</v>
      </c>
      <c r="E150" s="758">
        <v>81600</v>
      </c>
    </row>
    <row r="151" spans="1:5" ht="18.75" customHeight="1">
      <c r="A151" s="8">
        <v>4</v>
      </c>
      <c r="B151" s="16" t="s">
        <v>262</v>
      </c>
      <c r="C151" s="2" t="s">
        <v>150</v>
      </c>
      <c r="D151" s="8" t="s">
        <v>225</v>
      </c>
      <c r="E151" s="758">
        <v>64800</v>
      </c>
    </row>
    <row r="152" spans="1:5" ht="18.75" customHeight="1">
      <c r="A152" s="8">
        <v>5</v>
      </c>
      <c r="B152" s="16" t="s">
        <v>263</v>
      </c>
      <c r="C152" s="2" t="s">
        <v>150</v>
      </c>
      <c r="D152" s="8" t="s">
        <v>225</v>
      </c>
      <c r="E152" s="758">
        <v>64800</v>
      </c>
    </row>
    <row r="153" spans="1:5" ht="18.75" customHeight="1">
      <c r="A153" s="8">
        <v>6</v>
      </c>
      <c r="B153" s="16" t="s">
        <v>264</v>
      </c>
      <c r="C153" s="2" t="s">
        <v>150</v>
      </c>
      <c r="D153" s="8" t="s">
        <v>225</v>
      </c>
      <c r="E153" s="758">
        <v>64800</v>
      </c>
    </row>
    <row r="154" spans="1:5" ht="18.75" customHeight="1">
      <c r="A154" s="8">
        <v>7</v>
      </c>
      <c r="B154" s="16" t="s">
        <v>265</v>
      </c>
      <c r="C154" s="2" t="s">
        <v>150</v>
      </c>
      <c r="D154" s="8" t="s">
        <v>225</v>
      </c>
      <c r="E154" s="758">
        <v>64800</v>
      </c>
    </row>
    <row r="155" spans="1:5" ht="20.100000000000001" customHeight="1">
      <c r="A155" s="8">
        <v>8</v>
      </c>
      <c r="B155" s="16" t="s">
        <v>266</v>
      </c>
      <c r="C155" s="10" t="s">
        <v>267</v>
      </c>
      <c r="D155" s="13" t="s">
        <v>277</v>
      </c>
      <c r="E155" s="758">
        <v>64800</v>
      </c>
    </row>
    <row r="156" spans="1:5" ht="24.75" customHeight="1">
      <c r="A156" s="2"/>
      <c r="B156" s="18" t="s">
        <v>120</v>
      </c>
      <c r="C156" s="19">
        <v>8</v>
      </c>
      <c r="D156" s="24"/>
      <c r="E156" s="761">
        <f>SUM(E148:E155)</f>
        <v>638800</v>
      </c>
    </row>
    <row r="157" spans="1:5" ht="24.75" customHeight="1">
      <c r="A157" s="2"/>
      <c r="B157" s="18"/>
      <c r="C157" s="19"/>
      <c r="D157" s="24"/>
      <c r="E157" s="761"/>
    </row>
    <row r="158" spans="1:5" ht="24.75" customHeight="1">
      <c r="A158" s="8"/>
      <c r="B158" s="18" t="s">
        <v>268</v>
      </c>
      <c r="C158" s="19"/>
      <c r="D158" s="19"/>
      <c r="E158" s="762"/>
    </row>
    <row r="159" spans="1:5" ht="20.100000000000001" customHeight="1">
      <c r="A159" s="2">
        <v>1</v>
      </c>
      <c r="B159" s="16" t="s">
        <v>269</v>
      </c>
      <c r="C159" s="10" t="s">
        <v>270</v>
      </c>
      <c r="D159" s="13" t="s">
        <v>81</v>
      </c>
      <c r="E159" s="758">
        <v>81600</v>
      </c>
    </row>
    <row r="160" spans="1:5" ht="18.75" customHeight="1">
      <c r="A160" s="2">
        <v>2</v>
      </c>
      <c r="B160" s="16" t="s">
        <v>271</v>
      </c>
      <c r="C160" s="2" t="s">
        <v>272</v>
      </c>
      <c r="D160" s="8" t="s">
        <v>225</v>
      </c>
      <c r="E160" s="758">
        <v>64800</v>
      </c>
    </row>
    <row r="161" spans="1:5" ht="24.75" customHeight="1">
      <c r="A161" s="2">
        <v>3</v>
      </c>
      <c r="B161" s="9" t="s">
        <v>273</v>
      </c>
      <c r="C161" s="2" t="s">
        <v>274</v>
      </c>
      <c r="D161" s="8" t="s">
        <v>277</v>
      </c>
      <c r="E161" s="758">
        <v>64800</v>
      </c>
    </row>
    <row r="162" spans="1:5" ht="20.100000000000001" customHeight="1">
      <c r="A162" s="2">
        <v>4</v>
      </c>
      <c r="B162" s="16" t="s">
        <v>275</v>
      </c>
      <c r="C162" s="10" t="s">
        <v>276</v>
      </c>
      <c r="D162" s="13" t="s">
        <v>277</v>
      </c>
      <c r="E162" s="758">
        <v>64800</v>
      </c>
    </row>
    <row r="163" spans="1:5" ht="24.75" customHeight="1">
      <c r="A163" s="2">
        <v>5</v>
      </c>
      <c r="B163" s="9" t="s">
        <v>278</v>
      </c>
      <c r="C163" s="2" t="s">
        <v>279</v>
      </c>
      <c r="D163" s="8" t="s">
        <v>277</v>
      </c>
      <c r="E163" s="758">
        <v>64800</v>
      </c>
    </row>
    <row r="164" spans="1:5" ht="20.100000000000001" customHeight="1">
      <c r="A164" s="2"/>
      <c r="B164" s="18" t="s">
        <v>120</v>
      </c>
      <c r="C164" s="19">
        <v>5</v>
      </c>
      <c r="D164" s="24"/>
      <c r="E164" s="761">
        <f>SUM(E159:E163)</f>
        <v>340800</v>
      </c>
    </row>
    <row r="165" spans="1:5" ht="20.100000000000001" customHeight="1">
      <c r="A165" s="2"/>
      <c r="B165" s="18"/>
      <c r="C165" s="19"/>
      <c r="D165" s="24"/>
      <c r="E165" s="761"/>
    </row>
    <row r="166" spans="1:5" ht="20.100000000000001" customHeight="1">
      <c r="A166" s="2"/>
      <c r="B166" s="18" t="s">
        <v>280</v>
      </c>
      <c r="C166" s="19"/>
      <c r="D166" s="19"/>
      <c r="E166" s="762"/>
    </row>
    <row r="167" spans="1:5" ht="20.100000000000001" customHeight="1">
      <c r="A167" s="2">
        <v>1</v>
      </c>
      <c r="B167" s="9" t="s">
        <v>281</v>
      </c>
      <c r="C167" s="10" t="s">
        <v>282</v>
      </c>
      <c r="D167" s="13" t="s">
        <v>124</v>
      </c>
      <c r="E167" s="758">
        <v>324000</v>
      </c>
    </row>
    <row r="168" spans="1:5" ht="20.100000000000001" customHeight="1">
      <c r="A168" s="2">
        <v>2</v>
      </c>
      <c r="B168" s="9" t="s">
        <v>283</v>
      </c>
      <c r="C168" s="10" t="s">
        <v>284</v>
      </c>
      <c r="D168" s="13" t="s">
        <v>36</v>
      </c>
      <c r="E168" s="758">
        <v>216000</v>
      </c>
    </row>
    <row r="169" spans="1:5" ht="20.100000000000001" customHeight="1">
      <c r="A169" s="2">
        <v>3</v>
      </c>
      <c r="B169" s="12" t="s">
        <v>285</v>
      </c>
      <c r="C169" s="10" t="s">
        <v>284</v>
      </c>
      <c r="D169" s="13" t="s">
        <v>578</v>
      </c>
      <c r="E169" s="758">
        <v>216000</v>
      </c>
    </row>
    <row r="170" spans="1:5" ht="20.100000000000001" customHeight="1">
      <c r="A170" s="2">
        <v>4</v>
      </c>
      <c r="B170" s="9" t="s">
        <v>286</v>
      </c>
      <c r="C170" s="10" t="s">
        <v>287</v>
      </c>
      <c r="D170" s="13" t="s">
        <v>42</v>
      </c>
      <c r="E170" s="758">
        <v>151200</v>
      </c>
    </row>
    <row r="171" spans="1:5" ht="20.100000000000001" customHeight="1">
      <c r="A171" s="2">
        <v>5</v>
      </c>
      <c r="B171" s="9" t="s">
        <v>288</v>
      </c>
      <c r="C171" s="10" t="s">
        <v>287</v>
      </c>
      <c r="D171" s="13" t="s">
        <v>42</v>
      </c>
      <c r="E171" s="758">
        <v>151200</v>
      </c>
    </row>
    <row r="172" spans="1:5" ht="20.100000000000001" customHeight="1">
      <c r="A172" s="2">
        <v>6</v>
      </c>
      <c r="B172" s="9" t="s">
        <v>289</v>
      </c>
      <c r="C172" s="10" t="s">
        <v>290</v>
      </c>
      <c r="D172" s="13" t="s">
        <v>214</v>
      </c>
      <c r="E172" s="758">
        <v>108000</v>
      </c>
    </row>
    <row r="173" spans="1:5" ht="20.100000000000001" customHeight="1">
      <c r="A173" s="2">
        <v>7</v>
      </c>
      <c r="B173" s="9" t="s">
        <v>291</v>
      </c>
      <c r="C173" s="10" t="s">
        <v>290</v>
      </c>
      <c r="D173" s="13" t="s">
        <v>47</v>
      </c>
      <c r="E173" s="758">
        <v>108000</v>
      </c>
    </row>
    <row r="174" spans="1:5" ht="20.100000000000001" customHeight="1">
      <c r="A174" s="2">
        <v>8</v>
      </c>
      <c r="B174" s="16" t="s">
        <v>292</v>
      </c>
      <c r="C174" s="10" t="s">
        <v>293</v>
      </c>
      <c r="D174" s="13" t="s">
        <v>225</v>
      </c>
      <c r="E174" s="758">
        <v>64800</v>
      </c>
    </row>
    <row r="175" spans="1:5" ht="20.100000000000001" customHeight="1">
      <c r="A175" s="2">
        <v>9</v>
      </c>
      <c r="B175" s="9" t="s">
        <v>294</v>
      </c>
      <c r="C175" s="2" t="s">
        <v>295</v>
      </c>
      <c r="D175" s="13" t="s">
        <v>81</v>
      </c>
      <c r="E175" s="758">
        <v>81600</v>
      </c>
    </row>
    <row r="176" spans="1:5" ht="20.100000000000001" customHeight="1">
      <c r="A176" s="2">
        <v>10</v>
      </c>
      <c r="B176" s="16" t="s">
        <v>296</v>
      </c>
      <c r="C176" s="10" t="s">
        <v>297</v>
      </c>
      <c r="D176" s="13" t="s">
        <v>108</v>
      </c>
      <c r="E176" s="758">
        <v>64800</v>
      </c>
    </row>
    <row r="177" spans="1:5" ht="20.100000000000001" customHeight="1">
      <c r="A177" s="2">
        <v>11</v>
      </c>
      <c r="B177" s="16" t="s">
        <v>298</v>
      </c>
      <c r="C177" s="10" t="s">
        <v>293</v>
      </c>
      <c r="D177" s="13" t="s">
        <v>108</v>
      </c>
      <c r="E177" s="758">
        <v>64800</v>
      </c>
    </row>
    <row r="178" spans="1:5" ht="20.100000000000001" customHeight="1">
      <c r="A178" s="2">
        <v>12</v>
      </c>
      <c r="B178" s="16" t="s">
        <v>299</v>
      </c>
      <c r="C178" s="10" t="s">
        <v>297</v>
      </c>
      <c r="D178" s="13" t="s">
        <v>111</v>
      </c>
      <c r="E178" s="758">
        <v>64800</v>
      </c>
    </row>
    <row r="179" spans="1:5" ht="28.5" customHeight="1">
      <c r="A179" s="2"/>
      <c r="B179" s="18" t="s">
        <v>120</v>
      </c>
      <c r="C179" s="24" t="s">
        <v>300</v>
      </c>
      <c r="D179" s="13"/>
      <c r="E179" s="759">
        <f>SUM(E167:E178)</f>
        <v>1615200</v>
      </c>
    </row>
    <row r="180" spans="1:5" ht="20.100000000000001" customHeight="1">
      <c r="A180" s="2"/>
      <c r="B180" s="20"/>
      <c r="C180" s="24"/>
      <c r="D180" s="13"/>
      <c r="E180" s="762"/>
    </row>
    <row r="181" spans="1:5" ht="20.100000000000001" customHeight="1">
      <c r="A181" s="2"/>
      <c r="B181" s="18" t="s">
        <v>301</v>
      </c>
      <c r="C181" s="10"/>
      <c r="D181" s="13"/>
      <c r="E181" s="758"/>
    </row>
    <row r="182" spans="1:5" ht="20.100000000000001" customHeight="1">
      <c r="A182" s="25">
        <v>1</v>
      </c>
      <c r="B182" s="12" t="s">
        <v>302</v>
      </c>
      <c r="C182" s="2" t="s">
        <v>303</v>
      </c>
      <c r="D182" s="8" t="s">
        <v>580</v>
      </c>
      <c r="E182" s="758">
        <v>324000</v>
      </c>
    </row>
    <row r="183" spans="1:5" ht="20.100000000000001" customHeight="1">
      <c r="A183" s="25">
        <v>2</v>
      </c>
      <c r="B183" s="12" t="s">
        <v>305</v>
      </c>
      <c r="C183" s="2" t="s">
        <v>306</v>
      </c>
      <c r="D183" s="14" t="s">
        <v>36</v>
      </c>
      <c r="E183" s="758">
        <v>216000</v>
      </c>
    </row>
    <row r="184" spans="1:5" ht="20.100000000000001" customHeight="1">
      <c r="A184" s="25">
        <v>3</v>
      </c>
      <c r="B184" s="9" t="s">
        <v>307</v>
      </c>
      <c r="C184" s="10" t="s">
        <v>308</v>
      </c>
      <c r="D184" s="13" t="s">
        <v>42</v>
      </c>
      <c r="E184" s="758">
        <v>151200</v>
      </c>
    </row>
    <row r="185" spans="1:5" ht="20.100000000000001" customHeight="1">
      <c r="A185" s="25">
        <v>4</v>
      </c>
      <c r="B185" s="9" t="s">
        <v>309</v>
      </c>
      <c r="C185" s="2" t="s">
        <v>310</v>
      </c>
      <c r="D185" s="13" t="s">
        <v>42</v>
      </c>
      <c r="E185" s="758">
        <v>151201</v>
      </c>
    </row>
    <row r="186" spans="1:5" ht="20.100000000000001" customHeight="1">
      <c r="A186" s="25">
        <v>5</v>
      </c>
      <c r="B186" s="9" t="s">
        <v>311</v>
      </c>
      <c r="C186" s="2" t="s">
        <v>310</v>
      </c>
      <c r="D186" s="13" t="s">
        <v>42</v>
      </c>
      <c r="E186" s="758">
        <v>151202</v>
      </c>
    </row>
    <row r="187" spans="1:5" ht="20.100000000000001" customHeight="1">
      <c r="A187" s="25">
        <v>6</v>
      </c>
      <c r="B187" s="9" t="s">
        <v>312</v>
      </c>
      <c r="C187" s="2" t="s">
        <v>313</v>
      </c>
      <c r="D187" s="8" t="s">
        <v>574</v>
      </c>
      <c r="E187" s="758">
        <v>108000</v>
      </c>
    </row>
    <row r="188" spans="1:5" ht="20.100000000000001" customHeight="1">
      <c r="A188" s="25">
        <v>7</v>
      </c>
      <c r="B188" s="9" t="s">
        <v>314</v>
      </c>
      <c r="C188" s="10" t="s">
        <v>232</v>
      </c>
      <c r="D188" s="13" t="s">
        <v>67</v>
      </c>
      <c r="E188" s="758">
        <v>108000</v>
      </c>
    </row>
    <row r="189" spans="1:5" ht="20.100000000000001" customHeight="1">
      <c r="A189" s="25">
        <v>8</v>
      </c>
      <c r="B189" s="9" t="s">
        <v>315</v>
      </c>
      <c r="C189" s="2" t="s">
        <v>316</v>
      </c>
      <c r="D189" s="13" t="s">
        <v>67</v>
      </c>
      <c r="E189" s="758">
        <v>108000</v>
      </c>
    </row>
    <row r="190" spans="1:5" ht="20.100000000000001" customHeight="1">
      <c r="A190" s="25">
        <v>9</v>
      </c>
      <c r="B190" s="9" t="s">
        <v>317</v>
      </c>
      <c r="C190" s="10" t="s">
        <v>318</v>
      </c>
      <c r="D190" s="13" t="s">
        <v>67</v>
      </c>
      <c r="E190" s="758">
        <v>108000</v>
      </c>
    </row>
    <row r="191" spans="1:5" ht="20.100000000000001" customHeight="1">
      <c r="A191" s="25">
        <v>10</v>
      </c>
      <c r="B191" s="9" t="s">
        <v>319</v>
      </c>
      <c r="C191" s="10" t="s">
        <v>320</v>
      </c>
      <c r="D191" s="13" t="s">
        <v>70</v>
      </c>
      <c r="E191" s="758">
        <v>81600</v>
      </c>
    </row>
    <row r="192" spans="1:5" ht="20.100000000000001" customHeight="1">
      <c r="A192" s="25">
        <v>11</v>
      </c>
      <c r="B192" s="16" t="s">
        <v>321</v>
      </c>
      <c r="C192" s="2" t="s">
        <v>322</v>
      </c>
      <c r="D192" s="13" t="s">
        <v>131</v>
      </c>
      <c r="E192" s="758">
        <v>81600</v>
      </c>
    </row>
    <row r="193" spans="1:5" ht="20.100000000000001" customHeight="1">
      <c r="A193" s="25">
        <v>12</v>
      </c>
      <c r="B193" s="9" t="s">
        <v>323</v>
      </c>
      <c r="C193" s="2" t="s">
        <v>322</v>
      </c>
      <c r="D193" s="13" t="s">
        <v>179</v>
      </c>
      <c r="E193" s="758">
        <v>81600</v>
      </c>
    </row>
    <row r="194" spans="1:5" ht="20.100000000000001" customHeight="1">
      <c r="A194" s="25">
        <v>13</v>
      </c>
      <c r="B194" s="9" t="s">
        <v>324</v>
      </c>
      <c r="C194" s="2" t="s">
        <v>322</v>
      </c>
      <c r="D194" s="13" t="s">
        <v>179</v>
      </c>
      <c r="E194" s="758">
        <v>81600</v>
      </c>
    </row>
    <row r="195" spans="1:5" ht="20.100000000000001" customHeight="1">
      <c r="A195" s="25">
        <v>14</v>
      </c>
      <c r="B195" s="9" t="s">
        <v>325</v>
      </c>
      <c r="C195" s="2" t="s">
        <v>322</v>
      </c>
      <c r="D195" s="13" t="s">
        <v>179</v>
      </c>
      <c r="E195" s="758">
        <v>81600</v>
      </c>
    </row>
    <row r="196" spans="1:5" ht="20.100000000000001" customHeight="1">
      <c r="A196" s="25">
        <v>15</v>
      </c>
      <c r="B196" s="9" t="s">
        <v>326</v>
      </c>
      <c r="C196" s="2" t="s">
        <v>322</v>
      </c>
      <c r="D196" s="13" t="s">
        <v>131</v>
      </c>
      <c r="E196" s="758">
        <v>81600</v>
      </c>
    </row>
    <row r="197" spans="1:5" ht="20.100000000000001" customHeight="1">
      <c r="A197" s="25">
        <v>16</v>
      </c>
      <c r="B197" s="9" t="s">
        <v>327</v>
      </c>
      <c r="C197" s="10" t="s">
        <v>328</v>
      </c>
      <c r="D197" s="13" t="s">
        <v>78</v>
      </c>
      <c r="E197" s="758">
        <v>81600</v>
      </c>
    </row>
    <row r="198" spans="1:5" ht="20.100000000000001" customHeight="1">
      <c r="A198" s="25">
        <v>17</v>
      </c>
      <c r="B198" s="9" t="s">
        <v>329</v>
      </c>
      <c r="C198" s="10" t="s">
        <v>330</v>
      </c>
      <c r="D198" s="8" t="s">
        <v>81</v>
      </c>
      <c r="E198" s="758">
        <v>81600</v>
      </c>
    </row>
    <row r="199" spans="1:5" ht="20.100000000000001" customHeight="1">
      <c r="A199" s="25">
        <v>18</v>
      </c>
      <c r="B199" s="9" t="s">
        <v>331</v>
      </c>
      <c r="C199" s="2" t="s">
        <v>332</v>
      </c>
      <c r="D199" s="13" t="s">
        <v>179</v>
      </c>
      <c r="E199" s="758">
        <v>81600</v>
      </c>
    </row>
    <row r="200" spans="1:5" ht="20.100000000000001" customHeight="1">
      <c r="A200" s="25">
        <v>19</v>
      </c>
      <c r="B200" s="9" t="s">
        <v>333</v>
      </c>
      <c r="C200" s="2" t="s">
        <v>334</v>
      </c>
      <c r="D200" s="13" t="s">
        <v>81</v>
      </c>
      <c r="E200" s="758">
        <v>81600</v>
      </c>
    </row>
    <row r="201" spans="1:5" ht="20.100000000000001" customHeight="1">
      <c r="A201" s="25">
        <v>20</v>
      </c>
      <c r="B201" s="9" t="s">
        <v>335</v>
      </c>
      <c r="C201" s="2" t="s">
        <v>332</v>
      </c>
      <c r="D201" s="13" t="s">
        <v>179</v>
      </c>
      <c r="E201" s="758">
        <v>81600</v>
      </c>
    </row>
    <row r="202" spans="1:5" ht="20.100000000000001" customHeight="1">
      <c r="A202" s="25">
        <v>21</v>
      </c>
      <c r="B202" s="9" t="s">
        <v>336</v>
      </c>
      <c r="C202" s="2" t="s">
        <v>337</v>
      </c>
      <c r="D202" s="13" t="s">
        <v>81</v>
      </c>
      <c r="E202" s="758">
        <v>81600</v>
      </c>
    </row>
    <row r="203" spans="1:5" ht="20.100000000000001" customHeight="1">
      <c r="A203" s="25">
        <v>22</v>
      </c>
      <c r="B203" s="16" t="s">
        <v>338</v>
      </c>
      <c r="C203" s="10" t="s">
        <v>339</v>
      </c>
      <c r="D203" s="13" t="s">
        <v>99</v>
      </c>
      <c r="E203" s="763">
        <v>64800</v>
      </c>
    </row>
    <row r="204" spans="1:5" ht="20.100000000000001" customHeight="1">
      <c r="A204" s="25">
        <v>23</v>
      </c>
      <c r="B204" s="16" t="s">
        <v>340</v>
      </c>
      <c r="C204" s="10" t="s">
        <v>339</v>
      </c>
      <c r="D204" s="13" t="s">
        <v>99</v>
      </c>
      <c r="E204" s="763">
        <v>64800</v>
      </c>
    </row>
    <row r="205" spans="1:5" ht="18.75" customHeight="1">
      <c r="A205" s="25">
        <v>24</v>
      </c>
      <c r="B205" s="16" t="s">
        <v>341</v>
      </c>
      <c r="C205" s="2" t="s">
        <v>342</v>
      </c>
      <c r="D205" s="8" t="s">
        <v>225</v>
      </c>
      <c r="E205" s="763">
        <v>64800</v>
      </c>
    </row>
    <row r="206" spans="1:5" ht="20.100000000000001" customHeight="1">
      <c r="A206" s="25">
        <v>25</v>
      </c>
      <c r="B206" s="16" t="s">
        <v>343</v>
      </c>
      <c r="C206" s="10" t="s">
        <v>344</v>
      </c>
      <c r="D206" s="13" t="s">
        <v>225</v>
      </c>
      <c r="E206" s="763">
        <v>64800</v>
      </c>
    </row>
    <row r="207" spans="1:5" ht="20.100000000000001" customHeight="1">
      <c r="A207" s="25">
        <v>26</v>
      </c>
      <c r="B207" s="16" t="s">
        <v>345</v>
      </c>
      <c r="C207" s="10" t="s">
        <v>346</v>
      </c>
      <c r="D207" s="13" t="s">
        <v>108</v>
      </c>
      <c r="E207" s="763">
        <v>64800</v>
      </c>
    </row>
    <row r="208" spans="1:5" ht="20.100000000000001" customHeight="1">
      <c r="A208" s="25">
        <v>27</v>
      </c>
      <c r="B208" s="16" t="s">
        <v>347</v>
      </c>
      <c r="C208" s="10" t="s">
        <v>348</v>
      </c>
      <c r="D208" s="13" t="s">
        <v>108</v>
      </c>
      <c r="E208" s="763">
        <v>64800</v>
      </c>
    </row>
    <row r="209" spans="1:5" ht="20.100000000000001" customHeight="1">
      <c r="A209" s="25">
        <v>28</v>
      </c>
      <c r="B209" s="16" t="s">
        <v>349</v>
      </c>
      <c r="C209" s="10" t="s">
        <v>350</v>
      </c>
      <c r="D209" s="13" t="s">
        <v>108</v>
      </c>
      <c r="E209" s="763">
        <v>64800</v>
      </c>
    </row>
    <row r="210" spans="1:5" ht="20.100000000000001" customHeight="1">
      <c r="A210" s="25">
        <v>29</v>
      </c>
      <c r="B210" s="16" t="s">
        <v>351</v>
      </c>
      <c r="C210" s="2" t="s">
        <v>88</v>
      </c>
      <c r="D210" s="8" t="s">
        <v>225</v>
      </c>
      <c r="E210" s="763">
        <v>64800</v>
      </c>
    </row>
    <row r="211" spans="1:5" ht="20.100000000000001" customHeight="1">
      <c r="A211" s="25">
        <v>30</v>
      </c>
      <c r="B211" s="16" t="s">
        <v>352</v>
      </c>
      <c r="C211" s="10" t="s">
        <v>348</v>
      </c>
      <c r="D211" s="13" t="s">
        <v>108</v>
      </c>
      <c r="E211" s="763">
        <v>64800</v>
      </c>
    </row>
    <row r="212" spans="1:5" ht="20.100000000000001" customHeight="1">
      <c r="A212" s="25">
        <v>31</v>
      </c>
      <c r="B212" s="16" t="s">
        <v>353</v>
      </c>
      <c r="C212" s="10" t="s">
        <v>354</v>
      </c>
      <c r="D212" s="13" t="s">
        <v>111</v>
      </c>
      <c r="E212" s="763">
        <v>64800</v>
      </c>
    </row>
    <row r="213" spans="1:5" ht="20.100000000000001" customHeight="1">
      <c r="A213" s="25">
        <v>32</v>
      </c>
      <c r="B213" s="16" t="s">
        <v>355</v>
      </c>
      <c r="C213" s="10" t="s">
        <v>354</v>
      </c>
      <c r="D213" s="13" t="s">
        <v>111</v>
      </c>
      <c r="E213" s="763">
        <v>64800</v>
      </c>
    </row>
    <row r="214" spans="1:5" ht="20.100000000000001" customHeight="1">
      <c r="A214" s="25">
        <v>33</v>
      </c>
      <c r="B214" s="16" t="s">
        <v>485</v>
      </c>
      <c r="C214" s="10" t="s">
        <v>581</v>
      </c>
      <c r="D214" s="13" t="s">
        <v>277</v>
      </c>
      <c r="E214" s="763">
        <v>64800</v>
      </c>
    </row>
    <row r="215" spans="1:5" ht="20.100000000000001" customHeight="1">
      <c r="A215" s="25">
        <v>34</v>
      </c>
      <c r="B215" s="16" t="s">
        <v>356</v>
      </c>
      <c r="C215" s="10" t="s">
        <v>344</v>
      </c>
      <c r="D215" s="13" t="s">
        <v>277</v>
      </c>
      <c r="E215" s="763">
        <v>64800</v>
      </c>
    </row>
    <row r="216" spans="1:5" ht="20.100000000000001" customHeight="1">
      <c r="A216" s="25">
        <v>35</v>
      </c>
      <c r="B216" s="16" t="s">
        <v>357</v>
      </c>
      <c r="C216" s="10" t="s">
        <v>344</v>
      </c>
      <c r="D216" s="13" t="s">
        <v>277</v>
      </c>
      <c r="E216" s="763">
        <v>64800</v>
      </c>
    </row>
    <row r="217" spans="1:5" ht="20.100000000000001" customHeight="1">
      <c r="A217" s="25">
        <v>36</v>
      </c>
      <c r="B217" s="16" t="s">
        <v>358</v>
      </c>
      <c r="C217" s="10" t="s">
        <v>344</v>
      </c>
      <c r="D217" s="13" t="s">
        <v>277</v>
      </c>
      <c r="E217" s="763">
        <v>64800</v>
      </c>
    </row>
    <row r="218" spans="1:5" ht="20.100000000000001" customHeight="1">
      <c r="A218" s="25">
        <v>37</v>
      </c>
      <c r="B218" s="16" t="s">
        <v>359</v>
      </c>
      <c r="C218" s="10" t="s">
        <v>344</v>
      </c>
      <c r="D218" s="13" t="s">
        <v>277</v>
      </c>
      <c r="E218" s="763">
        <v>64800</v>
      </c>
    </row>
    <row r="219" spans="1:5" ht="20.100000000000001" customHeight="1">
      <c r="A219" s="25">
        <v>38</v>
      </c>
      <c r="B219" s="16" t="s">
        <v>360</v>
      </c>
      <c r="C219" s="10" t="s">
        <v>344</v>
      </c>
      <c r="D219" s="13" t="s">
        <v>277</v>
      </c>
      <c r="E219" s="763">
        <v>64800</v>
      </c>
    </row>
    <row r="220" spans="1:5" ht="20.100000000000001" customHeight="1">
      <c r="A220" s="25">
        <v>39</v>
      </c>
      <c r="B220" s="9" t="s">
        <v>361</v>
      </c>
      <c r="C220" s="10" t="s">
        <v>556</v>
      </c>
      <c r="D220" s="13" t="s">
        <v>374</v>
      </c>
      <c r="E220" s="760">
        <v>54000</v>
      </c>
    </row>
    <row r="221" spans="1:5" ht="20.100000000000001" customHeight="1">
      <c r="A221" s="25">
        <v>40</v>
      </c>
      <c r="B221" s="9" t="s">
        <v>364</v>
      </c>
      <c r="C221" s="10" t="s">
        <v>556</v>
      </c>
      <c r="D221" s="13" t="s">
        <v>374</v>
      </c>
      <c r="E221" s="760">
        <v>54000</v>
      </c>
    </row>
    <row r="222" spans="1:5" ht="20.100000000000001" customHeight="1">
      <c r="A222" s="25">
        <v>41</v>
      </c>
      <c r="B222" s="9" t="s">
        <v>365</v>
      </c>
      <c r="C222" s="10" t="s">
        <v>556</v>
      </c>
      <c r="D222" s="13" t="s">
        <v>374</v>
      </c>
      <c r="E222" s="760">
        <v>54000</v>
      </c>
    </row>
    <row r="223" spans="1:5" ht="20.100000000000001" customHeight="1">
      <c r="A223" s="25">
        <v>42</v>
      </c>
      <c r="B223" s="9" t="s">
        <v>366</v>
      </c>
      <c r="C223" s="10" t="s">
        <v>556</v>
      </c>
      <c r="D223" s="13" t="s">
        <v>374</v>
      </c>
      <c r="E223" s="760">
        <v>54000</v>
      </c>
    </row>
    <row r="224" spans="1:5" ht="20.100000000000001" customHeight="1">
      <c r="A224" s="25">
        <v>43</v>
      </c>
      <c r="B224" s="9" t="s">
        <v>367</v>
      </c>
      <c r="C224" s="10" t="s">
        <v>556</v>
      </c>
      <c r="D224" s="13" t="s">
        <v>386</v>
      </c>
      <c r="E224" s="760">
        <v>54000</v>
      </c>
    </row>
    <row r="225" spans="1:5" ht="20.100000000000001" customHeight="1">
      <c r="A225" s="25">
        <v>44</v>
      </c>
      <c r="B225" s="9" t="s">
        <v>369</v>
      </c>
      <c r="C225" s="10" t="s">
        <v>556</v>
      </c>
      <c r="D225" s="13" t="s">
        <v>386</v>
      </c>
      <c r="E225" s="760">
        <v>54000</v>
      </c>
    </row>
    <row r="226" spans="1:5" ht="20.100000000000001" customHeight="1">
      <c r="A226" s="25">
        <v>45</v>
      </c>
      <c r="B226" s="12" t="s">
        <v>370</v>
      </c>
      <c r="C226" s="10" t="s">
        <v>556</v>
      </c>
      <c r="D226" s="13" t="s">
        <v>386</v>
      </c>
      <c r="E226" s="760">
        <v>54000</v>
      </c>
    </row>
    <row r="227" spans="1:5" ht="20.100000000000001" customHeight="1">
      <c r="A227" s="25">
        <v>46</v>
      </c>
      <c r="B227" s="9" t="s">
        <v>371</v>
      </c>
      <c r="C227" s="10" t="s">
        <v>556</v>
      </c>
      <c r="D227" s="13" t="s">
        <v>386</v>
      </c>
      <c r="E227" s="760">
        <v>54000</v>
      </c>
    </row>
    <row r="228" spans="1:5" ht="20.100000000000001" customHeight="1">
      <c r="A228" s="25">
        <v>47</v>
      </c>
      <c r="B228" s="16" t="s">
        <v>372</v>
      </c>
      <c r="C228" s="10" t="s">
        <v>556</v>
      </c>
      <c r="D228" s="13" t="s">
        <v>386</v>
      </c>
      <c r="E228" s="760">
        <v>54000</v>
      </c>
    </row>
    <row r="229" spans="1:5" ht="20.100000000000001" customHeight="1">
      <c r="A229" s="25">
        <v>48</v>
      </c>
      <c r="B229" s="9" t="s">
        <v>373</v>
      </c>
      <c r="C229" s="10" t="s">
        <v>362</v>
      </c>
      <c r="D229" s="13" t="s">
        <v>582</v>
      </c>
      <c r="E229" s="760">
        <v>54000</v>
      </c>
    </row>
    <row r="230" spans="1:5" ht="20.100000000000001" customHeight="1">
      <c r="A230" s="25">
        <v>49</v>
      </c>
      <c r="B230" s="9" t="s">
        <v>375</v>
      </c>
      <c r="C230" s="10" t="s">
        <v>362</v>
      </c>
      <c r="D230" s="13" t="s">
        <v>582</v>
      </c>
      <c r="E230" s="760">
        <v>54000</v>
      </c>
    </row>
    <row r="231" spans="1:5" ht="20.100000000000001" customHeight="1">
      <c r="A231" s="25">
        <v>50</v>
      </c>
      <c r="B231" s="16" t="s">
        <v>376</v>
      </c>
      <c r="C231" s="10" t="s">
        <v>362</v>
      </c>
      <c r="D231" s="13" t="s">
        <v>379</v>
      </c>
      <c r="E231" s="760">
        <v>54000</v>
      </c>
    </row>
    <row r="232" spans="1:5" ht="20.100000000000001" customHeight="1">
      <c r="A232" s="25">
        <v>51</v>
      </c>
      <c r="B232" s="9" t="s">
        <v>378</v>
      </c>
      <c r="C232" s="10" t="s">
        <v>557</v>
      </c>
      <c r="D232" s="13" t="s">
        <v>583</v>
      </c>
      <c r="E232" s="760">
        <v>54000</v>
      </c>
    </row>
    <row r="233" spans="1:5" ht="20.100000000000001" customHeight="1">
      <c r="A233" s="25">
        <v>52</v>
      </c>
      <c r="B233" s="9" t="s">
        <v>380</v>
      </c>
      <c r="C233" s="10" t="s">
        <v>557</v>
      </c>
      <c r="D233" s="13" t="s">
        <v>583</v>
      </c>
      <c r="E233" s="760">
        <v>54000</v>
      </c>
    </row>
    <row r="234" spans="1:5" ht="20.100000000000001" customHeight="1">
      <c r="A234" s="25">
        <v>53</v>
      </c>
      <c r="B234" s="9" t="s">
        <v>381</v>
      </c>
      <c r="C234" s="10" t="s">
        <v>557</v>
      </c>
      <c r="D234" s="13" t="s">
        <v>583</v>
      </c>
      <c r="E234" s="760">
        <v>54000</v>
      </c>
    </row>
    <row r="235" spans="1:5" ht="20.100000000000001" customHeight="1">
      <c r="A235" s="25">
        <v>54</v>
      </c>
      <c r="B235" s="9" t="s">
        <v>382</v>
      </c>
      <c r="C235" s="10" t="s">
        <v>557</v>
      </c>
      <c r="D235" s="13" t="s">
        <v>583</v>
      </c>
      <c r="E235" s="760">
        <v>54000</v>
      </c>
    </row>
    <row r="236" spans="1:5" ht="20.100000000000001" customHeight="1">
      <c r="A236" s="25">
        <v>55</v>
      </c>
      <c r="B236" s="9" t="s">
        <v>383</v>
      </c>
      <c r="C236" s="10" t="s">
        <v>557</v>
      </c>
      <c r="D236" s="13" t="s">
        <v>583</v>
      </c>
      <c r="E236" s="760">
        <v>54000</v>
      </c>
    </row>
    <row r="237" spans="1:5" ht="20.100000000000001" customHeight="1">
      <c r="A237" s="25">
        <v>56</v>
      </c>
      <c r="B237" s="9" t="s">
        <v>384</v>
      </c>
      <c r="C237" s="10" t="s">
        <v>557</v>
      </c>
      <c r="D237" s="13" t="s">
        <v>583</v>
      </c>
      <c r="E237" s="760">
        <v>54000</v>
      </c>
    </row>
    <row r="238" spans="1:5" ht="20.100000000000001" customHeight="1">
      <c r="A238" s="25">
        <v>57</v>
      </c>
      <c r="B238" s="16" t="s">
        <v>385</v>
      </c>
      <c r="C238" s="10" t="s">
        <v>557</v>
      </c>
      <c r="D238" s="13" t="s">
        <v>583</v>
      </c>
      <c r="E238" s="760">
        <v>54000</v>
      </c>
    </row>
    <row r="239" spans="1:5" ht="20.100000000000001" customHeight="1">
      <c r="A239" s="25">
        <v>58</v>
      </c>
      <c r="B239" s="16" t="s">
        <v>387</v>
      </c>
      <c r="C239" s="10" t="s">
        <v>558</v>
      </c>
      <c r="D239" s="13" t="s">
        <v>584</v>
      </c>
      <c r="E239" s="758">
        <v>43200</v>
      </c>
    </row>
    <row r="240" spans="1:5" ht="20.100000000000001" customHeight="1">
      <c r="A240" s="25">
        <v>59</v>
      </c>
      <c r="B240" s="9" t="s">
        <v>388</v>
      </c>
      <c r="C240" s="10" t="s">
        <v>389</v>
      </c>
      <c r="D240" s="13" t="s">
        <v>584</v>
      </c>
      <c r="E240" s="758">
        <v>43200</v>
      </c>
    </row>
    <row r="241" spans="1:5" ht="20.100000000000001" customHeight="1">
      <c r="A241" s="25">
        <v>60</v>
      </c>
      <c r="B241" s="16" t="s">
        <v>391</v>
      </c>
      <c r="C241" s="10" t="s">
        <v>392</v>
      </c>
      <c r="D241" s="13" t="s">
        <v>395</v>
      </c>
      <c r="E241" s="758">
        <v>43200</v>
      </c>
    </row>
    <row r="242" spans="1:5" ht="20.100000000000001" customHeight="1">
      <c r="A242" s="25">
        <v>61</v>
      </c>
      <c r="B242" s="16" t="s">
        <v>394</v>
      </c>
      <c r="C242" s="10" t="s">
        <v>392</v>
      </c>
      <c r="D242" s="13" t="s">
        <v>397</v>
      </c>
      <c r="E242" s="758">
        <v>43200</v>
      </c>
    </row>
    <row r="243" spans="1:5" ht="20.100000000000001" customHeight="1">
      <c r="A243" s="25">
        <v>62</v>
      </c>
      <c r="B243" s="16" t="s">
        <v>396</v>
      </c>
      <c r="C243" s="10" t="s">
        <v>392</v>
      </c>
      <c r="D243" s="13" t="s">
        <v>397</v>
      </c>
      <c r="E243" s="758">
        <v>43200</v>
      </c>
    </row>
    <row r="244" spans="1:5" ht="20.100000000000001" customHeight="1">
      <c r="A244" s="25">
        <v>63</v>
      </c>
      <c r="B244" s="16" t="s">
        <v>398</v>
      </c>
      <c r="C244" s="10" t="s">
        <v>399</v>
      </c>
      <c r="D244" s="13" t="s">
        <v>585</v>
      </c>
      <c r="E244" s="758">
        <v>43200</v>
      </c>
    </row>
    <row r="245" spans="1:5" ht="20.100000000000001" customHeight="1">
      <c r="A245" s="25">
        <v>64</v>
      </c>
      <c r="B245" s="16" t="s">
        <v>401</v>
      </c>
      <c r="C245" s="10" t="s">
        <v>399</v>
      </c>
      <c r="D245" s="13" t="s">
        <v>585</v>
      </c>
      <c r="E245" s="758">
        <v>43200</v>
      </c>
    </row>
    <row r="246" spans="1:5" ht="20.100000000000001" customHeight="1">
      <c r="A246" s="25">
        <v>65</v>
      </c>
      <c r="B246" s="16" t="s">
        <v>402</v>
      </c>
      <c r="C246" s="10" t="s">
        <v>399</v>
      </c>
      <c r="D246" s="13" t="s">
        <v>585</v>
      </c>
      <c r="E246" s="758">
        <v>43200</v>
      </c>
    </row>
    <row r="247" spans="1:5" ht="20.100000000000001" customHeight="1">
      <c r="A247" s="25">
        <v>66</v>
      </c>
      <c r="B247" s="16" t="s">
        <v>403</v>
      </c>
      <c r="C247" s="10" t="s">
        <v>404</v>
      </c>
      <c r="D247" s="13" t="s">
        <v>393</v>
      </c>
      <c r="E247" s="758">
        <v>43200</v>
      </c>
    </row>
    <row r="248" spans="1:5" ht="20.100000000000001" customHeight="1">
      <c r="A248" s="25">
        <v>67</v>
      </c>
      <c r="B248" s="16" t="s">
        <v>406</v>
      </c>
      <c r="C248" s="10" t="s">
        <v>404</v>
      </c>
      <c r="D248" s="13" t="s">
        <v>393</v>
      </c>
      <c r="E248" s="758">
        <v>43200</v>
      </c>
    </row>
    <row r="249" spans="1:5" ht="30.75" customHeight="1">
      <c r="A249" s="25"/>
      <c r="B249" s="6" t="s">
        <v>120</v>
      </c>
      <c r="C249" s="26" t="s">
        <v>586</v>
      </c>
      <c r="D249" s="27"/>
      <c r="E249" s="761">
        <f>SUM(E182:E248)</f>
        <v>4964403</v>
      </c>
    </row>
    <row r="250" spans="1:5" ht="30" customHeight="1">
      <c r="A250" s="2"/>
      <c r="B250" s="28" t="s">
        <v>408</v>
      </c>
      <c r="C250" s="29">
        <f>C47+C57+C72+C77+C91+C105+C121+C131+C145+C164+C179+C249</f>
        <v>198</v>
      </c>
      <c r="D250" s="30"/>
      <c r="E250" s="954">
        <f>E249+E179+E164+E156+E145+E131+E121+E105+E91+E77+E72+E57+E47</f>
        <v>21102403</v>
      </c>
    </row>
    <row r="251" spans="1:5" ht="38.25" customHeight="1">
      <c r="B251" s="31"/>
      <c r="D251" s="32"/>
      <c r="E251" s="32"/>
    </row>
    <row r="252" spans="1:5" ht="36.75" customHeight="1">
      <c r="B252" s="31"/>
      <c r="C252" s="32"/>
      <c r="D252" s="32"/>
      <c r="E252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H14" sqref="H14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159" t="s">
        <v>659</v>
      </c>
      <c r="B1" s="1159"/>
      <c r="C1" s="1159"/>
    </row>
    <row r="2" spans="1:3" ht="23.1" customHeight="1">
      <c r="A2" s="672">
        <v>1</v>
      </c>
      <c r="B2" s="672" t="s">
        <v>660</v>
      </c>
      <c r="C2" s="564">
        <f>'Christmas Welfare 2025 (2)'!E250</f>
        <v>21102403</v>
      </c>
    </row>
    <row r="3" spans="1:3" ht="23.1" customHeight="1">
      <c r="A3" s="672">
        <v>2</v>
      </c>
      <c r="B3" s="672" t="s">
        <v>661</v>
      </c>
      <c r="C3" s="564">
        <f>'[6]Chr. Welfare Contract'!$E$32</f>
        <v>2611200</v>
      </c>
    </row>
    <row r="4" spans="1:3" ht="23.1" customHeight="1">
      <c r="A4" s="672">
        <v>3</v>
      </c>
      <c r="B4" s="672" t="s">
        <v>662</v>
      </c>
      <c r="C4" s="564">
        <f>'[6]CASUAL, SABB &amp; NYSC Chr Welfare'!$D$93</f>
        <v>4250400</v>
      </c>
    </row>
    <row r="5" spans="1:3" ht="23.1" customHeight="1">
      <c r="A5" s="672">
        <v>4</v>
      </c>
      <c r="B5" s="672" t="s">
        <v>663</v>
      </c>
      <c r="C5" s="564">
        <f>'[6]CONSULTANTS Chr. Welfare'!$D$20</f>
        <v>1296000</v>
      </c>
    </row>
    <row r="6" spans="1:3" ht="23.1" customHeight="1">
      <c r="A6" s="672">
        <v>5</v>
      </c>
      <c r="B6" s="672" t="s">
        <v>664</v>
      </c>
      <c r="C6" s="564"/>
    </row>
    <row r="7" spans="1:3" ht="23.1" customHeight="1">
      <c r="A7" s="672"/>
      <c r="B7" s="230" t="s">
        <v>665</v>
      </c>
      <c r="C7" s="673">
        <f>SUM(C2:C6)</f>
        <v>29260003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E15" activePane="bottomRight" state="frozen"/>
      <selection pane="topRight"/>
      <selection pane="bottomLeft"/>
      <selection pane="bottomRight" activeCell="H16" sqref="H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1157" t="s">
        <v>0</v>
      </c>
      <c r="B1" s="1157"/>
      <c r="C1" s="1157"/>
      <c r="D1" s="1157"/>
      <c r="E1" s="1157"/>
      <c r="F1" s="1158"/>
      <c r="G1" s="183"/>
      <c r="H1" s="183"/>
      <c r="I1" s="183"/>
      <c r="J1" s="183"/>
    </row>
    <row r="2" spans="1:10" ht="33.75" customHeight="1">
      <c r="A2" s="843" t="s">
        <v>666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858" t="s">
        <v>595</v>
      </c>
      <c r="H4" s="858" t="s">
        <v>596</v>
      </c>
      <c r="I4" s="858" t="s">
        <v>572</v>
      </c>
      <c r="J4" s="858" t="s">
        <v>598</v>
      </c>
    </row>
    <row r="5" spans="1:10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</row>
    <row r="6" spans="1:10" ht="17.25" customHeight="1">
      <c r="A6" s="2"/>
      <c r="B6" s="2"/>
      <c r="C6" s="6"/>
      <c r="D6" s="6"/>
      <c r="E6" s="8" t="s">
        <v>599</v>
      </c>
      <c r="F6" s="852" t="s">
        <v>600</v>
      </c>
      <c r="G6" s="859" t="s">
        <v>607</v>
      </c>
      <c r="H6" s="859" t="s">
        <v>608</v>
      </c>
      <c r="I6" s="859" t="s">
        <v>609</v>
      </c>
      <c r="J6" s="859" t="s">
        <v>611</v>
      </c>
    </row>
    <row r="7" spans="1:10" ht="20.100000000000001" customHeight="1">
      <c r="A7" s="7" t="s">
        <v>22</v>
      </c>
      <c r="B7" s="6" t="s">
        <v>23</v>
      </c>
      <c r="C7" s="6"/>
      <c r="D7" s="6"/>
      <c r="E7" s="8"/>
      <c r="F7" s="852"/>
      <c r="G7" s="859"/>
      <c r="H7" s="859" t="s">
        <v>617</v>
      </c>
      <c r="I7" s="859" t="s">
        <v>618</v>
      </c>
      <c r="J7" s="859" t="s">
        <v>618</v>
      </c>
    </row>
    <row r="8" spans="1:10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860">
        <v>10293.3979166667</v>
      </c>
      <c r="H11" s="860">
        <f t="shared" ref="H11:H38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34</v>
      </c>
      <c r="C12" s="10" t="s">
        <v>35</v>
      </c>
      <c r="D12" s="13" t="s">
        <v>578</v>
      </c>
      <c r="E12" s="70">
        <v>716034</v>
      </c>
      <c r="F12" s="853">
        <f>'[4]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860"/>
      <c r="H14" s="860">
        <f t="shared" si="2"/>
        <v>9160.4375</v>
      </c>
      <c r="I14" s="860">
        <f t="shared" si="0"/>
        <v>9160.4375</v>
      </c>
      <c r="J14" s="860">
        <f t="shared" si="1"/>
        <v>109925.25</v>
      </c>
    </row>
    <row r="15" spans="1:10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860"/>
      <c r="H15" s="860">
        <f t="shared" si="2"/>
        <v>11149.895833333299</v>
      </c>
      <c r="I15" s="860">
        <f t="shared" si="0"/>
        <v>11149.895833333299</v>
      </c>
      <c r="J15" s="860">
        <f t="shared" si="1"/>
        <v>133798.75</v>
      </c>
    </row>
    <row r="16" spans="1:10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860"/>
      <c r="H16" s="860">
        <f t="shared" si="2"/>
        <v>8692.8979166666704</v>
      </c>
      <c r="I16" s="860">
        <f t="shared" si="0"/>
        <v>8692.8979166666704</v>
      </c>
      <c r="J16" s="860">
        <f t="shared" si="1"/>
        <v>104314.77499999999</v>
      </c>
    </row>
    <row r="17" spans="1:10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860"/>
      <c r="H17" s="860">
        <f t="shared" si="2"/>
        <v>10824.5270833333</v>
      </c>
      <c r="I17" s="860">
        <f t="shared" si="0"/>
        <v>10824.5270833333</v>
      </c>
      <c r="J17" s="860">
        <f t="shared" si="1"/>
        <v>129894.325</v>
      </c>
    </row>
    <row r="18" spans="1:10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860"/>
      <c r="H18" s="860">
        <f t="shared" si="2"/>
        <v>8443.2708333333303</v>
      </c>
      <c r="I18" s="860">
        <f t="shared" si="0"/>
        <v>8443.2708333333303</v>
      </c>
      <c r="J18" s="860">
        <f t="shared" si="1"/>
        <v>101319.25</v>
      </c>
    </row>
    <row r="19" spans="1:10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860">
        <v>5607.1770833333303</v>
      </c>
      <c r="H19" s="860">
        <f t="shared" si="2"/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860">
        <v>5967.3062499999996</v>
      </c>
      <c r="H20" s="860">
        <f t="shared" si="2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860"/>
      <c r="H21" s="860">
        <f t="shared" si="2"/>
        <v>7791.8312500000002</v>
      </c>
      <c r="I21" s="860">
        <f t="shared" si="0"/>
        <v>7791.8312500000002</v>
      </c>
      <c r="J21" s="860">
        <f t="shared" si="1"/>
        <v>93501.975000000006</v>
      </c>
    </row>
    <row r="22" spans="1:10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860">
        <v>5257.5625</v>
      </c>
      <c r="H22" s="860">
        <f t="shared" si="2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860"/>
      <c r="H23" s="860">
        <f t="shared" si="2"/>
        <v>7571.9666666666699</v>
      </c>
      <c r="I23" s="860">
        <f t="shared" si="0"/>
        <v>7571.9666666666699</v>
      </c>
      <c r="J23" s="860">
        <f t="shared" si="1"/>
        <v>90863.600000000093</v>
      </c>
    </row>
    <row r="24" spans="1:10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860"/>
      <c r="H24" s="860">
        <f t="shared" si="2"/>
        <v>7161.1770833333303</v>
      </c>
      <c r="I24" s="860">
        <f t="shared" si="0"/>
        <v>7161.1770833333303</v>
      </c>
      <c r="J24" s="860">
        <f t="shared" si="1"/>
        <v>85934.124999999898</v>
      </c>
    </row>
    <row r="25" spans="1:10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860"/>
      <c r="H25" s="860">
        <f t="shared" si="2"/>
        <v>7161.1770833333303</v>
      </c>
      <c r="I25" s="860">
        <f t="shared" si="0"/>
        <v>7161.1770833333303</v>
      </c>
      <c r="J25" s="860">
        <f t="shared" si="1"/>
        <v>85934.124999999898</v>
      </c>
    </row>
    <row r="26" spans="1:10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860"/>
      <c r="H26" s="860">
        <f t="shared" si="2"/>
        <v>6021.8645833333203</v>
      </c>
      <c r="I26" s="860">
        <f t="shared" si="0"/>
        <v>6021.8645833333203</v>
      </c>
      <c r="J26" s="860">
        <f t="shared" si="1"/>
        <v>72262.374999999898</v>
      </c>
    </row>
    <row r="27" spans="1:10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860"/>
      <c r="H27" s="860">
        <f t="shared" si="2"/>
        <v>6021.8645833333203</v>
      </c>
      <c r="I27" s="860">
        <f t="shared" si="0"/>
        <v>6021.8645833333203</v>
      </c>
      <c r="J27" s="860">
        <f t="shared" si="1"/>
        <v>72262.374999999898</v>
      </c>
    </row>
    <row r="28" spans="1:10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860"/>
      <c r="H28" s="860">
        <f t="shared" si="2"/>
        <v>5690.3937500000002</v>
      </c>
      <c r="I28" s="860">
        <f t="shared" si="0"/>
        <v>5690.3937500000002</v>
      </c>
      <c r="J28" s="860">
        <f t="shared" si="1"/>
        <v>68284.725000000006</v>
      </c>
    </row>
    <row r="29" spans="1:10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860"/>
      <c r="H29" s="860">
        <f t="shared" si="2"/>
        <v>5690.3937500000002</v>
      </c>
      <c r="I29" s="860">
        <f t="shared" si="0"/>
        <v>5690.3937500000002</v>
      </c>
      <c r="J29" s="860">
        <f t="shared" si="1"/>
        <v>68284.725000000006</v>
      </c>
    </row>
    <row r="30" spans="1:10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860"/>
      <c r="H30" s="860">
        <f t="shared" si="2"/>
        <v>5690.3937500000002</v>
      </c>
      <c r="I30" s="860">
        <f t="shared" si="0"/>
        <v>5690.3937500000002</v>
      </c>
      <c r="J30" s="860">
        <f t="shared" si="1"/>
        <v>68284.725000000006</v>
      </c>
    </row>
    <row r="31" spans="1:10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860"/>
      <c r="H31" s="860">
        <f t="shared" si="2"/>
        <v>5566.8645833333203</v>
      </c>
      <c r="I31" s="860">
        <f t="shared" si="0"/>
        <v>5566.8645833333203</v>
      </c>
      <c r="J31" s="860">
        <f t="shared" si="1"/>
        <v>66802.374999999898</v>
      </c>
    </row>
    <row r="32" spans="1:10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860"/>
      <c r="H32" s="860">
        <f t="shared" si="2"/>
        <v>5443.3354166666804</v>
      </c>
      <c r="I32" s="860">
        <f t="shared" si="0"/>
        <v>5443.3354166666804</v>
      </c>
      <c r="J32" s="860">
        <f t="shared" si="1"/>
        <v>65320.025000000103</v>
      </c>
    </row>
    <row r="33" spans="1:10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860"/>
      <c r="H33" s="860">
        <f t="shared" si="2"/>
        <v>5443.3354166666804</v>
      </c>
      <c r="I33" s="860">
        <f t="shared" si="0"/>
        <v>5443.3354166666804</v>
      </c>
      <c r="J33" s="860">
        <f t="shared" si="1"/>
        <v>65320.025000000103</v>
      </c>
    </row>
    <row r="34" spans="1:10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860">
        <v>3653.5</v>
      </c>
      <c r="H34" s="860">
        <f t="shared" si="2"/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860"/>
      <c r="H35" s="860">
        <f t="shared" si="2"/>
        <v>5443.3354166666804</v>
      </c>
      <c r="I35" s="860">
        <f t="shared" si="0"/>
        <v>5443.3354166666804</v>
      </c>
      <c r="J35" s="860">
        <f t="shared" si="1"/>
        <v>65320.025000000103</v>
      </c>
    </row>
    <row r="36" spans="1:10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860"/>
      <c r="H36" s="860">
        <f t="shared" si="2"/>
        <v>5443.3354166666804</v>
      </c>
      <c r="I36" s="860">
        <f t="shared" si="0"/>
        <v>5443.3354166666804</v>
      </c>
      <c r="J36" s="860">
        <f t="shared" si="1"/>
        <v>65320.025000000103</v>
      </c>
    </row>
    <row r="37" spans="1:10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860"/>
      <c r="H37" s="860">
        <f t="shared" si="2"/>
        <v>4909.1104166666801</v>
      </c>
      <c r="I37" s="860">
        <f t="shared" si="0"/>
        <v>4909.1104166666801</v>
      </c>
      <c r="J37" s="860">
        <f t="shared" si="1"/>
        <v>58909.325000000099</v>
      </c>
    </row>
    <row r="38" spans="1:10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860"/>
      <c r="H38" s="860">
        <f t="shared" si="2"/>
        <v>4804.4854166666801</v>
      </c>
      <c r="I38" s="860">
        <f t="shared" si="0"/>
        <v>4804.4854166666801</v>
      </c>
      <c r="J38" s="860">
        <f t="shared" si="1"/>
        <v>57653.825000000099</v>
      </c>
    </row>
    <row r="39" spans="1:10" ht="26.25" customHeight="1">
      <c r="A39" s="8"/>
      <c r="B39" s="18" t="s">
        <v>120</v>
      </c>
      <c r="C39" s="19">
        <v>31</v>
      </c>
      <c r="D39" s="13"/>
      <c r="E39" s="187">
        <f t="shared" ref="E39:J39" si="3">SUM(E8:E38)</f>
        <v>14073003.666999999</v>
      </c>
      <c r="F39" s="854">
        <f t="shared" si="3"/>
        <v>10664632</v>
      </c>
      <c r="G39" s="187">
        <f t="shared" si="3"/>
        <v>48931.972916666702</v>
      </c>
      <c r="H39" s="187">
        <f t="shared" si="3"/>
        <v>211712.89791666699</v>
      </c>
      <c r="I39" s="187">
        <f t="shared" si="3"/>
        <v>162780.92499999999</v>
      </c>
      <c r="J39" s="187">
        <f t="shared" si="3"/>
        <v>2540554.7749999999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121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860"/>
      <c r="H42" s="860">
        <f t="shared" ref="H42:H45" si="4">0.025*F42</f>
        <v>27169.427083333299</v>
      </c>
      <c r="I42" s="860">
        <f t="shared" ref="I42:I45" si="5">H42-G42</f>
        <v>27169.427083333299</v>
      </c>
      <c r="J42" s="860"/>
    </row>
    <row r="43" spans="1:10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860"/>
      <c r="H43" s="860">
        <f t="shared" si="4"/>
        <v>6021.8645833333203</v>
      </c>
      <c r="I43" s="860">
        <f t="shared" si="5"/>
        <v>6021.8645833333203</v>
      </c>
      <c r="J43" s="860"/>
    </row>
    <row r="44" spans="1:10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860"/>
      <c r="H44" s="860">
        <f t="shared" si="4"/>
        <v>6154.2791666666799</v>
      </c>
      <c r="I44" s="860">
        <f t="shared" si="5"/>
        <v>6154.2791666666799</v>
      </c>
      <c r="J44" s="860"/>
    </row>
    <row r="45" spans="1:10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860"/>
      <c r="H45" s="860">
        <f t="shared" si="4"/>
        <v>5443.3354166666804</v>
      </c>
      <c r="I45" s="860">
        <f t="shared" si="5"/>
        <v>5443.3354166666804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44788.906249999898</v>
      </c>
      <c r="I46" s="187">
        <f t="shared" si="6"/>
        <v>44788.906249999898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137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860"/>
      <c r="H49" s="860">
        <f t="shared" ref="H49:H56" si="7">0.025*F49</f>
        <v>13866.737499999999</v>
      </c>
      <c r="I49" s="860">
        <f t="shared" ref="I49:I56" si="8">H49-G49</f>
        <v>13866.737499999999</v>
      </c>
      <c r="J49" s="860"/>
    </row>
    <row r="50" spans="1:10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860"/>
      <c r="H50" s="860">
        <f t="shared" si="7"/>
        <v>11475.262500000001</v>
      </c>
      <c r="I50" s="860">
        <f t="shared" si="8"/>
        <v>11475.262500000001</v>
      </c>
      <c r="J50" s="860"/>
    </row>
    <row r="51" spans="1:10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860">
        <v>8380.2270833333296</v>
      </c>
      <c r="H51" s="860">
        <f t="shared" si="7"/>
        <v>11475.262500000001</v>
      </c>
      <c r="I51" s="860">
        <f t="shared" si="8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860"/>
      <c r="H52" s="860">
        <f t="shared" si="7"/>
        <v>11149.895833333299</v>
      </c>
      <c r="I52" s="860">
        <f t="shared" si="8"/>
        <v>11149.895833333299</v>
      </c>
      <c r="J52" s="860"/>
    </row>
    <row r="53" spans="1:10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860"/>
      <c r="H53" s="860">
        <f t="shared" si="7"/>
        <v>10824.5270833333</v>
      </c>
      <c r="I53" s="860">
        <f t="shared" si="8"/>
        <v>10824.5270833333</v>
      </c>
      <c r="J53" s="860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860"/>
      <c r="H54" s="860">
        <f t="shared" si="7"/>
        <v>6154.2791666666799</v>
      </c>
      <c r="I54" s="860">
        <f t="shared" si="8"/>
        <v>6154.2791666666799</v>
      </c>
      <c r="J54" s="860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860"/>
      <c r="H55" s="860">
        <f t="shared" si="7"/>
        <v>5566.8645833333203</v>
      </c>
      <c r="I55" s="860">
        <f t="shared" si="8"/>
        <v>5566.8645833333203</v>
      </c>
      <c r="J55" s="860"/>
    </row>
    <row r="56" spans="1:10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860"/>
      <c r="H56" s="860">
        <f t="shared" si="7"/>
        <v>5566.8645833333203</v>
      </c>
      <c r="I56" s="860">
        <f t="shared" si="8"/>
        <v>5566.8645833333203</v>
      </c>
      <c r="J56" s="860"/>
    </row>
    <row r="57" spans="1:10" ht="25.5" customHeight="1">
      <c r="A57" s="8"/>
      <c r="B57" s="18" t="s">
        <v>120</v>
      </c>
      <c r="C57" s="19">
        <v>8</v>
      </c>
      <c r="D57" s="19"/>
      <c r="E57" s="78">
        <f t="shared" ref="E57:J57" si="9">SUM(E49:E56)</f>
        <v>4037104.0833333302</v>
      </c>
      <c r="F57" s="856">
        <f t="shared" si="9"/>
        <v>3043187.75</v>
      </c>
      <c r="G57" s="78">
        <f t="shared" si="9"/>
        <v>8380.2270833333296</v>
      </c>
      <c r="H57" s="78">
        <f t="shared" si="9"/>
        <v>76079.693750000006</v>
      </c>
      <c r="I57" s="78">
        <f t="shared" si="9"/>
        <v>67699.466666666704</v>
      </c>
      <c r="J57" s="78">
        <f t="shared" si="9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157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860"/>
      <c r="H60" s="860">
        <f t="shared" ref="H60:H71" si="10">0.025*F60</f>
        <v>27169.427083333299</v>
      </c>
      <c r="I60" s="860">
        <f t="shared" ref="I60:I71" si="11">H60-G60</f>
        <v>27169.427083333299</v>
      </c>
      <c r="J60" s="860"/>
    </row>
    <row r="61" spans="1:10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860"/>
      <c r="H61" s="860">
        <f t="shared" si="10"/>
        <v>11475.262500000001</v>
      </c>
      <c r="I61" s="860">
        <f t="shared" si="11"/>
        <v>11475.262500000001</v>
      </c>
      <c r="J61" s="860"/>
    </row>
    <row r="62" spans="1:10" ht="20.100000000000001" customHeight="1">
      <c r="A62" s="8"/>
      <c r="B62" s="18" t="s">
        <v>120</v>
      </c>
      <c r="C62" s="19">
        <v>2</v>
      </c>
      <c r="D62" s="19"/>
      <c r="E62" s="78">
        <f t="shared" ref="E62:J62" si="12">SUM(E60:E61)</f>
        <v>2056395.58333333</v>
      </c>
      <c r="F62" s="856">
        <f t="shared" si="12"/>
        <v>1545787.58333333</v>
      </c>
      <c r="G62" s="78">
        <f t="shared" si="12"/>
        <v>0</v>
      </c>
      <c r="H62" s="78">
        <f t="shared" si="12"/>
        <v>38644.689583333296</v>
      </c>
      <c r="I62" s="78">
        <f t="shared" si="12"/>
        <v>38644.689583333296</v>
      </c>
      <c r="J62" s="78">
        <f t="shared" si="12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163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860">
        <v>10293.3979166667</v>
      </c>
      <c r="H65" s="860">
        <f t="shared" si="10"/>
        <v>13866.737499999999</v>
      </c>
      <c r="I65" s="860">
        <f t="shared" si="11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860"/>
      <c r="H66" s="860">
        <f t="shared" si="10"/>
        <v>8692.8979166666704</v>
      </c>
      <c r="I66" s="860">
        <f t="shared" si="11"/>
        <v>8692.8979166666704</v>
      </c>
      <c r="J66" s="860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860"/>
      <c r="H67" s="860">
        <f t="shared" si="10"/>
        <v>7366.5729166666797</v>
      </c>
      <c r="I67" s="860">
        <f t="shared" si="11"/>
        <v>7366.5729166666797</v>
      </c>
      <c r="J67" s="860"/>
    </row>
    <row r="68" spans="1:10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860"/>
      <c r="H68" s="860">
        <f t="shared" si="10"/>
        <v>7366.5729166666797</v>
      </c>
      <c r="I68" s="860">
        <f t="shared" si="11"/>
        <v>7366.5729166666797</v>
      </c>
      <c r="J68" s="860"/>
    </row>
    <row r="69" spans="1:10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860"/>
      <c r="H69" s="860">
        <f t="shared" si="10"/>
        <v>7366.5729166666797</v>
      </c>
      <c r="I69" s="860">
        <f t="shared" si="11"/>
        <v>7366.5729166666797</v>
      </c>
      <c r="J69" s="860"/>
    </row>
    <row r="70" spans="1:10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860"/>
      <c r="H70" s="860">
        <f t="shared" si="10"/>
        <v>7571.9666666666699</v>
      </c>
      <c r="I70" s="860">
        <f t="shared" si="11"/>
        <v>7571.9666666666699</v>
      </c>
      <c r="J70" s="860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860"/>
      <c r="H71" s="860">
        <f t="shared" si="10"/>
        <v>6154.2791666666799</v>
      </c>
      <c r="I71" s="860">
        <f t="shared" si="11"/>
        <v>6154.2791666666799</v>
      </c>
      <c r="J71" s="860"/>
    </row>
    <row r="72" spans="1:10" ht="27" customHeight="1">
      <c r="A72" s="8"/>
      <c r="B72" s="18" t="s">
        <v>120</v>
      </c>
      <c r="C72" s="19">
        <v>7</v>
      </c>
      <c r="D72" s="19"/>
      <c r="E72" s="78">
        <f t="shared" ref="E72:J72" si="13">SUM(E65:E71)</f>
        <v>3051668.9166666698</v>
      </c>
      <c r="F72" s="856">
        <f t="shared" si="13"/>
        <v>2335424</v>
      </c>
      <c r="G72" s="78">
        <f t="shared" si="13"/>
        <v>10293.3979166667</v>
      </c>
      <c r="H72" s="78">
        <f t="shared" si="13"/>
        <v>58385.599999999999</v>
      </c>
      <c r="I72" s="78">
        <f t="shared" si="13"/>
        <v>48092.202083333403</v>
      </c>
      <c r="J72" s="78">
        <f t="shared" si="13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182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860"/>
      <c r="H75" s="860">
        <f t="shared" ref="H75:H80" si="14">0.025*F75</f>
        <v>27169.427083333299</v>
      </c>
      <c r="I75" s="860">
        <f t="shared" ref="I75:I80" si="15">H75-G75</f>
        <v>27169.427083333299</v>
      </c>
      <c r="J75" s="860"/>
    </row>
    <row r="76" spans="1:10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860"/>
      <c r="H76" s="860">
        <f t="shared" si="14"/>
        <v>11149.895833333299</v>
      </c>
      <c r="I76" s="860">
        <f t="shared" si="15"/>
        <v>11149.895833333299</v>
      </c>
      <c r="J76" s="860"/>
    </row>
    <row r="77" spans="1:10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860">
        <v>6154.3229166666697</v>
      </c>
      <c r="H77" s="860">
        <f t="shared" si="14"/>
        <v>8926.6666666666806</v>
      </c>
      <c r="I77" s="860">
        <f t="shared" si="15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860"/>
      <c r="H78" s="860">
        <f t="shared" si="14"/>
        <v>7161.1770833333303</v>
      </c>
      <c r="I78" s="860">
        <f t="shared" si="15"/>
        <v>7161.1770833333303</v>
      </c>
      <c r="J78" s="860"/>
    </row>
    <row r="79" spans="1:10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860"/>
      <c r="H79" s="860">
        <f t="shared" si="14"/>
        <v>5566.8645833333203</v>
      </c>
      <c r="I79" s="860">
        <f t="shared" si="15"/>
        <v>5566.8645833333203</v>
      </c>
      <c r="J79" s="860"/>
    </row>
    <row r="80" spans="1:10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860"/>
      <c r="H80" s="860">
        <f t="shared" si="14"/>
        <v>4909.1104166666801</v>
      </c>
      <c r="I80" s="860">
        <f t="shared" si="15"/>
        <v>4909.1104166666801</v>
      </c>
      <c r="J80" s="860"/>
    </row>
    <row r="81" spans="1:10" ht="20.100000000000001" customHeight="1">
      <c r="A81" s="8"/>
      <c r="B81" s="18" t="s">
        <v>120</v>
      </c>
      <c r="C81" s="19">
        <v>6</v>
      </c>
      <c r="D81" s="19"/>
      <c r="E81" s="78">
        <f t="shared" ref="E81:J81" si="16">SUM(E75:E80)</f>
        <v>3347837.1666666698</v>
      </c>
      <c r="F81" s="856">
        <f t="shared" si="16"/>
        <v>2595325.66666666</v>
      </c>
      <c r="G81" s="78">
        <f t="shared" si="16"/>
        <v>6154.3229166666697</v>
      </c>
      <c r="H81" s="78">
        <f t="shared" si="16"/>
        <v>64883.141666666597</v>
      </c>
      <c r="I81" s="78">
        <f t="shared" si="16"/>
        <v>58728.818749999897</v>
      </c>
      <c r="J81" s="78">
        <f t="shared" si="16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204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860">
        <v>18254.974999999999</v>
      </c>
      <c r="H84" s="860">
        <f t="shared" ref="H84:H93" si="17">0.025*F84</f>
        <v>25644.208333333299</v>
      </c>
      <c r="I84" s="860">
        <f t="shared" ref="I84:I93" si="18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860"/>
      <c r="H85" s="860">
        <f t="shared" si="17"/>
        <v>13084.6625</v>
      </c>
      <c r="I85" s="860">
        <f t="shared" si="18"/>
        <v>13084.6625</v>
      </c>
      <c r="J85" s="860"/>
    </row>
    <row r="86" spans="1:10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860"/>
      <c r="H86" s="860">
        <f t="shared" si="17"/>
        <v>11149.895833333299</v>
      </c>
      <c r="I86" s="860">
        <f t="shared" si="18"/>
        <v>11149.895833333299</v>
      </c>
      <c r="J86" s="860"/>
    </row>
    <row r="87" spans="1:10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442746.5</v>
      </c>
      <c r="G87" s="860"/>
      <c r="H87" s="860">
        <f t="shared" si="17"/>
        <v>11068.6625</v>
      </c>
      <c r="I87" s="860">
        <f t="shared" si="18"/>
        <v>11068.6625</v>
      </c>
      <c r="J87" s="860"/>
    </row>
    <row r="88" spans="1:10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442746.5</v>
      </c>
      <c r="G88" s="860"/>
      <c r="H88" s="860">
        <f t="shared" si="17"/>
        <v>11068.6625</v>
      </c>
      <c r="I88" s="860">
        <f t="shared" si="18"/>
        <v>11068.6625</v>
      </c>
      <c r="J88" s="860"/>
    </row>
    <row r="89" spans="1:10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428870.75</v>
      </c>
      <c r="G89" s="860"/>
      <c r="H89" s="860">
        <f t="shared" si="17"/>
        <v>10721.768749999999</v>
      </c>
      <c r="I89" s="860">
        <f t="shared" si="18"/>
        <v>10721.768749999999</v>
      </c>
      <c r="J89" s="860"/>
    </row>
    <row r="90" spans="1:10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860"/>
      <c r="H90" s="860">
        <f t="shared" si="17"/>
        <v>7366.5729166666797</v>
      </c>
      <c r="I90" s="860">
        <f t="shared" si="18"/>
        <v>7366.5729166666797</v>
      </c>
      <c r="J90" s="860"/>
    </row>
    <row r="91" spans="1:10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860">
        <v>5259.7437499999996</v>
      </c>
      <c r="H91" s="860">
        <f t="shared" si="17"/>
        <v>7791.8312500000002</v>
      </c>
      <c r="I91" s="860">
        <f t="shared" si="18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860"/>
      <c r="H92" s="860">
        <f t="shared" si="17"/>
        <v>6154.2791666666799</v>
      </c>
      <c r="I92" s="860">
        <f t="shared" si="18"/>
        <v>6154.2791666666799</v>
      </c>
      <c r="J92" s="860"/>
    </row>
    <row r="93" spans="1:10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860"/>
      <c r="H93" s="860">
        <f t="shared" si="17"/>
        <v>5013.7354166666801</v>
      </c>
      <c r="I93" s="860">
        <f t="shared" si="18"/>
        <v>5013.7354166666801</v>
      </c>
      <c r="J93" s="860"/>
    </row>
    <row r="94" spans="1:10" ht="20.100000000000001" customHeight="1">
      <c r="A94" s="8"/>
      <c r="B94" s="18" t="s">
        <v>120</v>
      </c>
      <c r="C94" s="19">
        <v>10</v>
      </c>
      <c r="D94" s="19"/>
      <c r="E94" s="78">
        <f t="shared" ref="E94:J94" si="19">SUM(E84:E93)</f>
        <v>5352203.1666666698</v>
      </c>
      <c r="F94" s="856">
        <f t="shared" si="19"/>
        <v>4362571.1666666605</v>
      </c>
      <c r="G94" s="78">
        <f t="shared" si="19"/>
        <v>23514.71875</v>
      </c>
      <c r="H94" s="78">
        <f t="shared" si="19"/>
        <v>109064.27916666699</v>
      </c>
      <c r="I94" s="78">
        <f t="shared" si="19"/>
        <v>85549.560416666602</v>
      </c>
      <c r="J94" s="78">
        <f t="shared" si="19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226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860">
        <v>18254.974999999999</v>
      </c>
      <c r="H97" s="860">
        <f t="shared" ref="H97:H101" si="20">0.025*F97</f>
        <v>26406.820833333299</v>
      </c>
      <c r="I97" s="860">
        <f t="shared" ref="I97:I101" si="21">H97-G97</f>
        <v>8151.8458333332501</v>
      </c>
      <c r="J97" s="860">
        <f t="shared" ref="J97:J101" si="22">H97*12</f>
        <v>316881.84999999899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860"/>
      <c r="H98" s="860">
        <f t="shared" si="20"/>
        <v>8926.6666666666806</v>
      </c>
      <c r="I98" s="860">
        <f t="shared" si="21"/>
        <v>8926.6666666666806</v>
      </c>
      <c r="J98" s="860">
        <f t="shared" si="22"/>
        <v>107120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860">
        <v>5967.3062499999996</v>
      </c>
      <c r="H99" s="860">
        <f t="shared" si="20"/>
        <v>7791.8312500000002</v>
      </c>
      <c r="I99" s="860">
        <f t="shared" si="21"/>
        <v>1824.5250000000001</v>
      </c>
      <c r="J99" s="860">
        <f t="shared" si="22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860"/>
      <c r="H100" s="860">
        <f t="shared" si="20"/>
        <v>7571.9666666666699</v>
      </c>
      <c r="I100" s="860">
        <f t="shared" si="21"/>
        <v>7571.9666666666699</v>
      </c>
      <c r="J100" s="860">
        <f t="shared" si="22"/>
        <v>90863.600000000093</v>
      </c>
    </row>
    <row r="101" spans="1:10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860"/>
      <c r="H101" s="860">
        <f t="shared" si="20"/>
        <v>6154.2791666666799</v>
      </c>
      <c r="I101" s="860">
        <f t="shared" si="21"/>
        <v>6154.2791666666799</v>
      </c>
      <c r="J101" s="860">
        <f t="shared" si="22"/>
        <v>73851.350000000093</v>
      </c>
    </row>
    <row r="102" spans="1:10" ht="20.100000000000001" customHeight="1">
      <c r="A102" s="2"/>
      <c r="B102" s="18" t="s">
        <v>120</v>
      </c>
      <c r="C102" s="19">
        <v>5</v>
      </c>
      <c r="D102" s="24"/>
      <c r="E102" s="78">
        <f t="shared" ref="E102:J102" si="23">SUM(E97:E101)</f>
        <v>2966505.25</v>
      </c>
      <c r="F102" s="856">
        <f t="shared" si="23"/>
        <v>2274062.5833333302</v>
      </c>
      <c r="G102" s="78">
        <f t="shared" si="23"/>
        <v>24222.28125</v>
      </c>
      <c r="H102" s="78">
        <f t="shared" si="23"/>
        <v>56851.564583333296</v>
      </c>
      <c r="I102" s="78">
        <f t="shared" si="23"/>
        <v>32629.2833333333</v>
      </c>
      <c r="J102" s="78">
        <f t="shared" si="23"/>
        <v>682218.77499999898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239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860">
        <v>0</v>
      </c>
      <c r="H105" s="860">
        <f t="shared" ref="H105:H111" si="24">0.025*F105</f>
        <v>27169.427083333299</v>
      </c>
      <c r="I105" s="860">
        <f t="shared" ref="I105:I111" si="25">H105-G105</f>
        <v>27169.427083333299</v>
      </c>
      <c r="J105" s="860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860">
        <v>10293.3979166667</v>
      </c>
      <c r="H106" s="860">
        <f t="shared" si="24"/>
        <v>13866.737499999999</v>
      </c>
      <c r="I106" s="860">
        <f t="shared" si="25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860">
        <v>5954.6104166666701</v>
      </c>
      <c r="H107" s="860">
        <f t="shared" si="24"/>
        <v>8443.2708333333303</v>
      </c>
      <c r="I107" s="860">
        <f t="shared" si="25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853">
        <v>337730.83333333302</v>
      </c>
      <c r="G108" s="860"/>
      <c r="H108" s="860">
        <f t="shared" si="24"/>
        <v>8443.2708333333303</v>
      </c>
      <c r="I108" s="860">
        <f t="shared" si="25"/>
        <v>8443.2708333333303</v>
      </c>
      <c r="J108" s="860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860"/>
      <c r="H109" s="860">
        <f t="shared" si="24"/>
        <v>5327.6104166666801</v>
      </c>
      <c r="I109" s="860">
        <f t="shared" si="25"/>
        <v>5327.6104166666801</v>
      </c>
      <c r="J109" s="860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860"/>
      <c r="H110" s="860">
        <f t="shared" si="24"/>
        <v>5319.8041666666804</v>
      </c>
      <c r="I110" s="860">
        <f t="shared" si="25"/>
        <v>5319.8041666666804</v>
      </c>
      <c r="J110" s="860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860"/>
      <c r="H111" s="860">
        <f t="shared" si="24"/>
        <v>5013.7354166666801</v>
      </c>
      <c r="I111" s="860">
        <f t="shared" si="25"/>
        <v>5013.7354166666801</v>
      </c>
      <c r="J111" s="860"/>
    </row>
    <row r="112" spans="1:10" ht="25.5" customHeight="1">
      <c r="A112" s="2"/>
      <c r="B112" s="18" t="s">
        <v>120</v>
      </c>
      <c r="C112" s="19">
        <v>7</v>
      </c>
      <c r="D112" s="2"/>
      <c r="E112" s="189">
        <f t="shared" ref="E112:J112" si="26">SUM(E105:E111)</f>
        <v>3829676.6666666698</v>
      </c>
      <c r="F112" s="862">
        <f t="shared" si="26"/>
        <v>2943354.25</v>
      </c>
      <c r="G112" s="189">
        <f t="shared" si="26"/>
        <v>16248.008333333401</v>
      </c>
      <c r="H112" s="189">
        <f t="shared" si="26"/>
        <v>73583.856249999895</v>
      </c>
      <c r="I112" s="189">
        <f t="shared" si="26"/>
        <v>57335.8479166666</v>
      </c>
      <c r="J112" s="189">
        <f t="shared" si="26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860"/>
      <c r="H115" s="860">
        <f t="shared" ref="H115:H117" si="27">0.025*F115</f>
        <v>7571.9666666666699</v>
      </c>
      <c r="I115" s="860">
        <f t="shared" ref="I115:I117" si="28">H115-G115</f>
        <v>7571.9666666666699</v>
      </c>
      <c r="J115" s="860"/>
    </row>
    <row r="116" spans="1:10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860"/>
      <c r="H116" s="860">
        <f t="shared" si="27"/>
        <v>7366.5729166666797</v>
      </c>
      <c r="I116" s="860">
        <f t="shared" si="28"/>
        <v>7366.5729166666797</v>
      </c>
      <c r="J116" s="860"/>
    </row>
    <row r="117" spans="1:10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860">
        <v>5967.3062499999996</v>
      </c>
      <c r="H117" s="860">
        <f t="shared" si="27"/>
        <v>7574.6854166666699</v>
      </c>
      <c r="I117" s="860">
        <f t="shared" si="28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120</v>
      </c>
      <c r="C118" s="19">
        <v>3</v>
      </c>
      <c r="D118" s="24"/>
      <c r="E118" s="78">
        <f t="shared" ref="E118:J118" si="29">SUM(E115:E117)</f>
        <v>1158230.58333333</v>
      </c>
      <c r="F118" s="856">
        <f t="shared" si="29"/>
        <v>900529.00000000105</v>
      </c>
      <c r="G118" s="78">
        <f t="shared" si="29"/>
        <v>5967.3062499999996</v>
      </c>
      <c r="H118" s="78">
        <f t="shared" si="29"/>
        <v>22513.224999999999</v>
      </c>
      <c r="I118" s="78">
        <f t="shared" si="29"/>
        <v>16545.918750000001</v>
      </c>
      <c r="J118" s="78">
        <f t="shared" si="29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268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860"/>
      <c r="H121" s="860">
        <f t="shared" ref="H121:H135" si="30">0.025*F121</f>
        <v>4699.8604166666801</v>
      </c>
      <c r="I121" s="860">
        <f t="shared" ref="I121:I135" si="31">H121-G121</f>
        <v>4699.8604166666801</v>
      </c>
      <c r="J121" s="860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860"/>
      <c r="H122" s="860">
        <f t="shared" si="30"/>
        <v>4699.8604166666801</v>
      </c>
      <c r="I122" s="860">
        <f t="shared" si="31"/>
        <v>4699.8604166666801</v>
      </c>
      <c r="J122" s="860"/>
    </row>
    <row r="123" spans="1:10" ht="20.100000000000001" customHeight="1">
      <c r="A123" s="2"/>
      <c r="B123" s="18" t="s">
        <v>120</v>
      </c>
      <c r="C123" s="19">
        <v>3</v>
      </c>
      <c r="D123" s="24"/>
      <c r="E123" s="78">
        <f t="shared" ref="E123:J123" si="32">SUM(E121:E122)</f>
        <v>436575.16666666599</v>
      </c>
      <c r="F123" s="856">
        <f t="shared" si="32"/>
        <v>375988.83333333401</v>
      </c>
      <c r="G123" s="78">
        <f t="shared" si="32"/>
        <v>0</v>
      </c>
      <c r="H123" s="78">
        <f t="shared" si="32"/>
        <v>9399.7208333333492</v>
      </c>
      <c r="I123" s="78">
        <f t="shared" si="32"/>
        <v>9399.7208333333492</v>
      </c>
      <c r="J123" s="78">
        <f t="shared" si="32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860">
        <v>19384.766666666699</v>
      </c>
      <c r="H126" s="860">
        <f t="shared" si="30"/>
        <v>27169.427083333299</v>
      </c>
      <c r="I126" s="860">
        <f t="shared" si="31"/>
        <v>7784.6604166665502</v>
      </c>
      <c r="J126" s="860">
        <f t="shared" ref="J126:J135" si="33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860">
        <v>9980.5666666666693</v>
      </c>
      <c r="H127" s="860">
        <f t="shared" si="30"/>
        <v>13866.737499999999</v>
      </c>
      <c r="I127" s="860">
        <f t="shared" si="31"/>
        <v>3886.1708333333299</v>
      </c>
      <c r="J127" s="860">
        <f t="shared" si="33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860">
        <v>9980.5666666666693</v>
      </c>
      <c r="H128" s="860">
        <f t="shared" si="30"/>
        <v>13084.6625</v>
      </c>
      <c r="I128" s="860">
        <f t="shared" si="31"/>
        <v>3104.0958333333301</v>
      </c>
      <c r="J128" s="860">
        <f t="shared" si="33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860">
        <v>0</v>
      </c>
      <c r="H129" s="860">
        <f t="shared" si="30"/>
        <v>9160.4375</v>
      </c>
      <c r="I129" s="860">
        <f t="shared" si="31"/>
        <v>9160.4375</v>
      </c>
      <c r="J129" s="860">
        <f t="shared" si="33"/>
        <v>109925.25</v>
      </c>
    </row>
    <row r="130" spans="1:10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860">
        <v>5967.3062499999996</v>
      </c>
      <c r="H130" s="860">
        <f t="shared" si="30"/>
        <v>8692.8979166666704</v>
      </c>
      <c r="I130" s="860">
        <f t="shared" si="31"/>
        <v>2725.5916666666699</v>
      </c>
      <c r="J130" s="860">
        <f t="shared" si="33"/>
        <v>104314.77499999999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860">
        <v>6154.3229166666697</v>
      </c>
      <c r="H131" s="860">
        <f t="shared" si="30"/>
        <v>8926.6666666666806</v>
      </c>
      <c r="I131" s="860">
        <f t="shared" si="31"/>
        <v>2772.34375000001</v>
      </c>
      <c r="J131" s="860">
        <f t="shared" si="33"/>
        <v>107120</v>
      </c>
    </row>
    <row r="132" spans="1:10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860"/>
      <c r="H132" s="860">
        <f t="shared" si="30"/>
        <v>5690.3937500000002</v>
      </c>
      <c r="I132" s="860">
        <f t="shared" si="31"/>
        <v>5690.3937500000002</v>
      </c>
      <c r="J132" s="860">
        <f t="shared" si="33"/>
        <v>68284.725000000006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860">
        <v>0</v>
      </c>
      <c r="H133" s="860">
        <f t="shared" si="30"/>
        <v>4909.1104166666801</v>
      </c>
      <c r="I133" s="860">
        <f t="shared" si="31"/>
        <v>4909.1104166666801</v>
      </c>
      <c r="J133" s="860">
        <f t="shared" si="33"/>
        <v>58909.325000000099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860">
        <v>0</v>
      </c>
      <c r="H134" s="860">
        <f t="shared" si="30"/>
        <v>4909.1104166666801</v>
      </c>
      <c r="I134" s="860">
        <f t="shared" si="31"/>
        <v>4909.1104166666801</v>
      </c>
      <c r="J134" s="860">
        <f t="shared" si="33"/>
        <v>58909.325000000099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0"/>
      <c r="H135" s="860">
        <f t="shared" si="30"/>
        <v>4804.4854166666801</v>
      </c>
      <c r="I135" s="860">
        <f t="shared" si="31"/>
        <v>4804.4854166666801</v>
      </c>
      <c r="J135" s="860">
        <f t="shared" si="33"/>
        <v>57653.825000000099</v>
      </c>
    </row>
    <row r="136" spans="1:10" ht="28.5" customHeight="1">
      <c r="A136" s="2"/>
      <c r="B136" s="18" t="s">
        <v>120</v>
      </c>
      <c r="C136" s="24" t="s">
        <v>634</v>
      </c>
      <c r="D136" s="13"/>
      <c r="E136" s="122">
        <f t="shared" ref="E136:J136" si="34">SUM(E126:E135)</f>
        <v>5289142.75</v>
      </c>
      <c r="F136" s="857">
        <f t="shared" si="34"/>
        <v>4048557.1666666698</v>
      </c>
      <c r="G136" s="187">
        <f t="shared" si="34"/>
        <v>51467.529166666704</v>
      </c>
      <c r="H136" s="187">
        <f t="shared" si="34"/>
        <v>101213.929166667</v>
      </c>
      <c r="I136" s="187">
        <f t="shared" si="34"/>
        <v>49746.3999999999</v>
      </c>
      <c r="J136" s="187">
        <f t="shared" si="34"/>
        <v>1214567.1499999999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301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860">
        <v>18254.974999999999</v>
      </c>
      <c r="H139" s="860">
        <f t="shared" ref="H139:H198" si="35">0.025*F139</f>
        <v>25644.208333333299</v>
      </c>
      <c r="I139" s="860">
        <f t="shared" ref="I139:I198" si="36">H139-G139</f>
        <v>7389.2333333332499</v>
      </c>
      <c r="J139" s="860">
        <f t="shared" ref="J139:J198" si="37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860">
        <v>10293.3979166667</v>
      </c>
      <c r="H140" s="860">
        <f t="shared" si="35"/>
        <v>13866.737499999999</v>
      </c>
      <c r="I140" s="860">
        <f t="shared" si="36"/>
        <v>3573.3395833333002</v>
      </c>
      <c r="J140" s="860">
        <f t="shared" si="37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35"/>
        <v>10824.5270833333</v>
      </c>
      <c r="I141" s="860">
        <f t="shared" si="36"/>
        <v>2444.3000000000002</v>
      </c>
      <c r="J141" s="860">
        <f t="shared" si="37"/>
        <v>129894.325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35"/>
        <v>10824.5270833333</v>
      </c>
      <c r="I142" s="860">
        <f t="shared" si="36"/>
        <v>2443.3000000000002</v>
      </c>
      <c r="J142" s="860">
        <f t="shared" si="37"/>
        <v>129894.325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35"/>
        <v>10824.5270833333</v>
      </c>
      <c r="I143" s="860">
        <f t="shared" si="36"/>
        <v>2442.3000000000002</v>
      </c>
      <c r="J143" s="860">
        <f t="shared" si="37"/>
        <v>129894.325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311673.25</v>
      </c>
      <c r="G144" s="860">
        <v>0</v>
      </c>
      <c r="H144" s="860">
        <f t="shared" si="35"/>
        <v>7791.8312500000002</v>
      </c>
      <c r="I144" s="860">
        <f t="shared" si="36"/>
        <v>7791.8312500000002</v>
      </c>
      <c r="J144" s="860">
        <f t="shared" si="37"/>
        <v>93501.975000000006</v>
      </c>
    </row>
    <row r="145" spans="1:10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860">
        <v>0</v>
      </c>
      <c r="H145" s="860">
        <f t="shared" si="35"/>
        <v>7574.6854166666699</v>
      </c>
      <c r="I145" s="860">
        <f t="shared" si="36"/>
        <v>7574.6854166666699</v>
      </c>
      <c r="J145" s="860">
        <f t="shared" si="37"/>
        <v>90896.225000000093</v>
      </c>
    </row>
    <row r="146" spans="1:10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860">
        <v>0</v>
      </c>
      <c r="H146" s="860">
        <f t="shared" si="35"/>
        <v>7571.9666666666699</v>
      </c>
      <c r="I146" s="860">
        <f t="shared" si="36"/>
        <v>7571.9666666666699</v>
      </c>
      <c r="J146" s="860">
        <f t="shared" si="37"/>
        <v>90863.600000000093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860">
        <v>4928.9333333333298</v>
      </c>
      <c r="H147" s="860">
        <f t="shared" si="35"/>
        <v>7366.5729166666797</v>
      </c>
      <c r="I147" s="860">
        <f t="shared" si="36"/>
        <v>2437.6395833333499</v>
      </c>
      <c r="J147" s="860">
        <f t="shared" si="37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860">
        <v>0</v>
      </c>
      <c r="H148" s="860">
        <f t="shared" si="35"/>
        <v>7161.1770833333303</v>
      </c>
      <c r="I148" s="860">
        <f t="shared" si="36"/>
        <v>7161.1770833333303</v>
      </c>
      <c r="J148" s="860">
        <f t="shared" si="37"/>
        <v>85934.124999999898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860">
        <v>0</v>
      </c>
      <c r="H149" s="860">
        <f t="shared" si="35"/>
        <v>6955.78125</v>
      </c>
      <c r="I149" s="860">
        <f t="shared" si="36"/>
        <v>6955.78125</v>
      </c>
      <c r="J149" s="860">
        <f t="shared" si="37"/>
        <v>83469.375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860">
        <v>4928.9333333333298</v>
      </c>
      <c r="H150" s="860">
        <f t="shared" si="35"/>
        <v>6955.78125</v>
      </c>
      <c r="I150" s="860">
        <f t="shared" si="36"/>
        <v>2026.84791666667</v>
      </c>
      <c r="J150" s="860">
        <f t="shared" si="37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860">
        <v>0</v>
      </c>
      <c r="H151" s="860">
        <f t="shared" si="35"/>
        <v>7161.1770833333303</v>
      </c>
      <c r="I151" s="860">
        <f t="shared" si="36"/>
        <v>7161.1770833333303</v>
      </c>
      <c r="J151" s="860">
        <f t="shared" si="37"/>
        <v>85934.124999999898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860">
        <v>0</v>
      </c>
      <c r="H152" s="860">
        <f t="shared" si="35"/>
        <v>6154.2791666666799</v>
      </c>
      <c r="I152" s="860">
        <f t="shared" si="36"/>
        <v>6154.2791666666799</v>
      </c>
      <c r="J152" s="860">
        <f t="shared" si="37"/>
        <v>73851.350000000093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860">
        <v>0</v>
      </c>
      <c r="H153" s="860">
        <f t="shared" si="35"/>
        <v>5566.8645833333203</v>
      </c>
      <c r="I153" s="860">
        <f t="shared" si="36"/>
        <v>5566.8645833333203</v>
      </c>
      <c r="J153" s="860">
        <f t="shared" si="37"/>
        <v>66802.374999999898</v>
      </c>
    </row>
    <row r="154" spans="1:10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308901.5</v>
      </c>
      <c r="G154" s="860">
        <v>0</v>
      </c>
      <c r="H154" s="860">
        <f t="shared" si="35"/>
        <v>7722.5375000000004</v>
      </c>
      <c r="I154" s="860">
        <f t="shared" si="36"/>
        <v>7722.5375000000004</v>
      </c>
      <c r="J154" s="860">
        <f t="shared" si="37"/>
        <v>92670.45</v>
      </c>
    </row>
    <row r="155" spans="1:10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860">
        <v>0</v>
      </c>
      <c r="H155" s="860">
        <f t="shared" si="35"/>
        <v>5690.3937500000002</v>
      </c>
      <c r="I155" s="860">
        <f t="shared" si="36"/>
        <v>5690.3937500000002</v>
      </c>
      <c r="J155" s="860">
        <f t="shared" si="37"/>
        <v>68284.725000000006</v>
      </c>
    </row>
    <row r="156" spans="1:10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308901.5</v>
      </c>
      <c r="G156" s="860">
        <v>4123.4208333333299</v>
      </c>
      <c r="H156" s="860">
        <f t="shared" si="35"/>
        <v>7722.5375000000004</v>
      </c>
      <c r="I156" s="860">
        <f t="shared" si="36"/>
        <v>3599.11666666667</v>
      </c>
      <c r="J156" s="860">
        <f t="shared" si="37"/>
        <v>92670.45</v>
      </c>
    </row>
    <row r="157" spans="1:10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860">
        <v>0</v>
      </c>
      <c r="H157" s="860">
        <f t="shared" si="35"/>
        <v>5690.3937500000002</v>
      </c>
      <c r="I157" s="860">
        <f t="shared" si="36"/>
        <v>5690.3937500000002</v>
      </c>
      <c r="J157" s="860">
        <f t="shared" si="37"/>
        <v>68284.725000000006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860">
        <v>0</v>
      </c>
      <c r="H158" s="860">
        <f t="shared" si="35"/>
        <v>5443.3354166666804</v>
      </c>
      <c r="I158" s="860">
        <f t="shared" si="36"/>
        <v>5443.3354166666804</v>
      </c>
      <c r="J158" s="860">
        <f t="shared" si="37"/>
        <v>65320.025000000103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860">
        <v>0</v>
      </c>
      <c r="H159" s="860">
        <f t="shared" si="35"/>
        <v>5443.3354166666804</v>
      </c>
      <c r="I159" s="860">
        <f t="shared" si="36"/>
        <v>5443.3354166666804</v>
      </c>
      <c r="J159" s="860">
        <f t="shared" si="37"/>
        <v>65320.025000000103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860">
        <v>0</v>
      </c>
      <c r="H160" s="860">
        <f t="shared" si="35"/>
        <v>4909.1104166666801</v>
      </c>
      <c r="I160" s="860">
        <f t="shared" si="36"/>
        <v>4909.1104166666801</v>
      </c>
      <c r="J160" s="860">
        <f t="shared" si="37"/>
        <v>58909.325000000099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860">
        <v>0</v>
      </c>
      <c r="H161" s="860">
        <f t="shared" si="35"/>
        <v>4909.1104166666801</v>
      </c>
      <c r="I161" s="860">
        <f t="shared" si="36"/>
        <v>4909.1104166666801</v>
      </c>
      <c r="J161" s="860">
        <f t="shared" si="37"/>
        <v>58909.325000000099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860">
        <v>0</v>
      </c>
      <c r="H162" s="860">
        <f t="shared" si="35"/>
        <v>4909.1104166666801</v>
      </c>
      <c r="I162" s="860">
        <f t="shared" si="36"/>
        <v>4909.1104166666801</v>
      </c>
      <c r="J162" s="860">
        <f t="shared" si="37"/>
        <v>58909.325000000099</v>
      </c>
    </row>
    <row r="163" spans="1:10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860">
        <v>0</v>
      </c>
      <c r="H163" s="860">
        <f t="shared" si="35"/>
        <v>5013.7354166666801</v>
      </c>
      <c r="I163" s="860">
        <f t="shared" si="36"/>
        <v>5013.7354166666801</v>
      </c>
      <c r="J163" s="860">
        <f t="shared" si="37"/>
        <v>60164.825000000099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860">
        <v>0</v>
      </c>
      <c r="H164" s="860">
        <f t="shared" si="35"/>
        <v>4909.1104166666801</v>
      </c>
      <c r="I164" s="860">
        <f t="shared" si="36"/>
        <v>4909.1104166666801</v>
      </c>
      <c r="J164" s="860">
        <f t="shared" si="37"/>
        <v>58909.325000000099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860"/>
      <c r="H165" s="860">
        <f t="shared" si="35"/>
        <v>4804.4854166666801</v>
      </c>
      <c r="I165" s="860">
        <f t="shared" si="36"/>
        <v>4804.4854166666801</v>
      </c>
      <c r="J165" s="860">
        <f t="shared" si="37"/>
        <v>57653.825000000099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860"/>
      <c r="H166" s="860">
        <f t="shared" si="35"/>
        <v>4804.4854166666801</v>
      </c>
      <c r="I166" s="860">
        <f t="shared" si="36"/>
        <v>4804.4854166666801</v>
      </c>
      <c r="J166" s="860">
        <f t="shared" si="37"/>
        <v>57653.825000000099</v>
      </c>
    </row>
    <row r="167" spans="1:10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860">
        <v>2313.5749999999998</v>
      </c>
      <c r="H167" s="860">
        <f t="shared" si="35"/>
        <v>3982.2145833333302</v>
      </c>
      <c r="I167" s="860">
        <f t="shared" si="36"/>
        <v>1668.6395833333299</v>
      </c>
      <c r="J167" s="860">
        <f t="shared" si="37"/>
        <v>47786.574999999903</v>
      </c>
    </row>
    <row r="168" spans="1:10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860">
        <v>0</v>
      </c>
      <c r="H168" s="860">
        <f t="shared" si="35"/>
        <v>3982.2145833333302</v>
      </c>
      <c r="I168" s="860">
        <f t="shared" si="36"/>
        <v>3982.2145833333302</v>
      </c>
      <c r="J168" s="860">
        <f t="shared" si="37"/>
        <v>47786.574999999903</v>
      </c>
    </row>
    <row r="169" spans="1:10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860">
        <v>0</v>
      </c>
      <c r="H169" s="860">
        <f t="shared" si="35"/>
        <v>3982.2145833333302</v>
      </c>
      <c r="I169" s="860">
        <f t="shared" si="36"/>
        <v>3982.2145833333302</v>
      </c>
      <c r="J169" s="860">
        <f t="shared" si="37"/>
        <v>47786.574999999903</v>
      </c>
    </row>
    <row r="170" spans="1:10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860">
        <v>2313.5749999999998</v>
      </c>
      <c r="H170" s="860">
        <f t="shared" si="35"/>
        <v>3982.2145833333302</v>
      </c>
      <c r="I170" s="860">
        <f t="shared" si="36"/>
        <v>1668.6395833333299</v>
      </c>
      <c r="J170" s="860">
        <f t="shared" si="37"/>
        <v>47786.574999999903</v>
      </c>
    </row>
    <row r="171" spans="1:10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860"/>
      <c r="H171" s="860">
        <f t="shared" si="35"/>
        <v>3982.2145833333302</v>
      </c>
      <c r="I171" s="860">
        <f t="shared" si="36"/>
        <v>3982.2145833333302</v>
      </c>
      <c r="J171" s="860">
        <f t="shared" si="37"/>
        <v>47786.574999999903</v>
      </c>
    </row>
    <row r="172" spans="1:10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860"/>
      <c r="H172" s="860">
        <f t="shared" si="35"/>
        <v>3891.9666666666799</v>
      </c>
      <c r="I172" s="860">
        <f t="shared" si="36"/>
        <v>3891.9666666666799</v>
      </c>
      <c r="J172" s="860">
        <f t="shared" si="37"/>
        <v>46703.6000000001</v>
      </c>
    </row>
    <row r="173" spans="1:10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860"/>
      <c r="H173" s="860">
        <f t="shared" si="35"/>
        <v>3891.9666666666799</v>
      </c>
      <c r="I173" s="860">
        <f t="shared" si="36"/>
        <v>3891.9666666666799</v>
      </c>
      <c r="J173" s="860">
        <f t="shared" si="37"/>
        <v>46703.6000000001</v>
      </c>
    </row>
    <row r="174" spans="1:10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860"/>
      <c r="H174" s="860">
        <f t="shared" si="35"/>
        <v>3891.9666666666799</v>
      </c>
      <c r="I174" s="860">
        <f t="shared" si="36"/>
        <v>3891.9666666666799</v>
      </c>
      <c r="J174" s="860">
        <f t="shared" si="37"/>
        <v>46703.6000000001</v>
      </c>
    </row>
    <row r="175" spans="1:10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860"/>
      <c r="H175" s="860">
        <f t="shared" si="35"/>
        <v>3891.9666666666799</v>
      </c>
      <c r="I175" s="860">
        <f t="shared" si="36"/>
        <v>3891.9666666666799</v>
      </c>
      <c r="J175" s="860">
        <f t="shared" si="37"/>
        <v>46703.6000000001</v>
      </c>
    </row>
    <row r="176" spans="1:10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860"/>
      <c r="H176" s="860">
        <f t="shared" si="35"/>
        <v>3891.9666666666799</v>
      </c>
      <c r="I176" s="860">
        <f t="shared" si="36"/>
        <v>3891.9666666666799</v>
      </c>
      <c r="J176" s="860">
        <f t="shared" si="37"/>
        <v>46703.6000000001</v>
      </c>
    </row>
    <row r="177" spans="1:10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860"/>
      <c r="H177" s="860">
        <f t="shared" si="35"/>
        <v>3891.9666666666799</v>
      </c>
      <c r="I177" s="860">
        <f t="shared" si="36"/>
        <v>3891.9666666666799</v>
      </c>
      <c r="J177" s="860">
        <f t="shared" si="37"/>
        <v>46703.6000000001</v>
      </c>
    </row>
    <row r="178" spans="1:10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860"/>
      <c r="H178" s="860">
        <f t="shared" si="35"/>
        <v>3711.4749999999999</v>
      </c>
      <c r="I178" s="860">
        <f t="shared" si="36"/>
        <v>3711.4749999999999</v>
      </c>
      <c r="J178" s="860">
        <f t="shared" si="37"/>
        <v>44537.7</v>
      </c>
    </row>
    <row r="179" spans="1:10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860"/>
      <c r="H179" s="860">
        <f t="shared" si="35"/>
        <v>3711.4749999999999</v>
      </c>
      <c r="I179" s="860">
        <f t="shared" si="36"/>
        <v>3711.4749999999999</v>
      </c>
      <c r="J179" s="860">
        <f t="shared" si="37"/>
        <v>44537.7</v>
      </c>
    </row>
    <row r="180" spans="1:10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860"/>
      <c r="H180" s="860">
        <f t="shared" si="35"/>
        <v>3801.7208333333301</v>
      </c>
      <c r="I180" s="860">
        <f t="shared" si="36"/>
        <v>3801.7208333333301</v>
      </c>
      <c r="J180" s="860">
        <f t="shared" si="37"/>
        <v>45620.6499999999</v>
      </c>
    </row>
    <row r="181" spans="1:10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860"/>
      <c r="H181" s="860">
        <f t="shared" si="35"/>
        <v>3621.22708333333</v>
      </c>
      <c r="I181" s="860">
        <f t="shared" si="36"/>
        <v>3621.22708333333</v>
      </c>
      <c r="J181" s="860">
        <f t="shared" si="37"/>
        <v>43454.724999999897</v>
      </c>
    </row>
    <row r="182" spans="1:10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860"/>
      <c r="H182" s="860">
        <f t="shared" si="35"/>
        <v>2526.3312500000002</v>
      </c>
      <c r="I182" s="860">
        <f t="shared" si="36"/>
        <v>2526.3312500000002</v>
      </c>
      <c r="J182" s="860">
        <f t="shared" si="37"/>
        <v>30315.974999999999</v>
      </c>
    </row>
    <row r="183" spans="1:10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860"/>
      <c r="H183" s="860">
        <f t="shared" si="35"/>
        <v>2526.3312500000002</v>
      </c>
      <c r="I183" s="860">
        <f t="shared" si="36"/>
        <v>2526.3312500000002</v>
      </c>
      <c r="J183" s="860">
        <f t="shared" si="37"/>
        <v>30315.974999999999</v>
      </c>
    </row>
    <row r="184" spans="1:10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860"/>
      <c r="H184" s="860">
        <f t="shared" si="35"/>
        <v>2526.3312500000002</v>
      </c>
      <c r="I184" s="860">
        <f t="shared" si="36"/>
        <v>2526.3312500000002</v>
      </c>
      <c r="J184" s="860">
        <f t="shared" si="37"/>
        <v>30315.974999999999</v>
      </c>
    </row>
    <row r="185" spans="1:10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860"/>
      <c r="H185" s="860">
        <f t="shared" si="35"/>
        <v>2526.3312500000002</v>
      </c>
      <c r="I185" s="860">
        <f t="shared" si="36"/>
        <v>2526.3312500000002</v>
      </c>
      <c r="J185" s="860">
        <f t="shared" si="37"/>
        <v>30315.974999999999</v>
      </c>
    </row>
    <row r="186" spans="1:10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860"/>
      <c r="H186" s="860">
        <f t="shared" si="35"/>
        <v>2526.3312500000002</v>
      </c>
      <c r="I186" s="860">
        <f t="shared" si="36"/>
        <v>2526.3312500000002</v>
      </c>
      <c r="J186" s="860">
        <f t="shared" si="37"/>
        <v>30315.974999999999</v>
      </c>
    </row>
    <row r="187" spans="1:10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860"/>
      <c r="H187" s="860">
        <f t="shared" si="35"/>
        <v>2526.3312500000002</v>
      </c>
      <c r="I187" s="860">
        <f t="shared" si="36"/>
        <v>2526.3312500000002</v>
      </c>
      <c r="J187" s="860">
        <f t="shared" si="37"/>
        <v>30315.974999999999</v>
      </c>
    </row>
    <row r="188" spans="1:10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860"/>
      <c r="H188" s="860">
        <f t="shared" si="35"/>
        <v>2526.3312500000002</v>
      </c>
      <c r="I188" s="860">
        <f t="shared" si="36"/>
        <v>2526.3312500000002</v>
      </c>
      <c r="J188" s="860">
        <f t="shared" si="37"/>
        <v>30315.974999999999</v>
      </c>
    </row>
    <row r="189" spans="1:10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860"/>
      <c r="H189" s="860">
        <f t="shared" si="35"/>
        <v>2526.3312500000002</v>
      </c>
      <c r="I189" s="860">
        <f t="shared" si="36"/>
        <v>2526.3312500000002</v>
      </c>
      <c r="J189" s="860">
        <f t="shared" si="37"/>
        <v>30315.974999999999</v>
      </c>
    </row>
    <row r="190" spans="1:10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860"/>
      <c r="H190" s="860">
        <f t="shared" si="35"/>
        <v>2526.3312500000002</v>
      </c>
      <c r="I190" s="860">
        <f t="shared" si="36"/>
        <v>2526.3312500000002</v>
      </c>
      <c r="J190" s="860">
        <f t="shared" si="37"/>
        <v>30315.974999999999</v>
      </c>
    </row>
    <row r="191" spans="1:10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860"/>
      <c r="H191" s="860">
        <f t="shared" si="35"/>
        <v>2487.1729166666701</v>
      </c>
      <c r="I191" s="860">
        <f t="shared" si="36"/>
        <v>2487.1729166666701</v>
      </c>
      <c r="J191" s="860">
        <f t="shared" si="37"/>
        <v>29846.075000000001</v>
      </c>
    </row>
    <row r="192" spans="1:10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860"/>
      <c r="H192" s="860">
        <f t="shared" si="35"/>
        <v>2408.8562499999998</v>
      </c>
      <c r="I192" s="860">
        <f t="shared" si="36"/>
        <v>2408.8562499999998</v>
      </c>
      <c r="J192" s="860">
        <f t="shared" si="37"/>
        <v>28906.275000000001</v>
      </c>
    </row>
    <row r="193" spans="1:10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860"/>
      <c r="H193" s="860">
        <f t="shared" si="35"/>
        <v>2369.7041666666701</v>
      </c>
      <c r="I193" s="860">
        <f t="shared" si="36"/>
        <v>2369.7041666666701</v>
      </c>
      <c r="J193" s="860">
        <f t="shared" si="37"/>
        <v>28436.45</v>
      </c>
    </row>
    <row r="194" spans="1:10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860"/>
      <c r="H194" s="860">
        <f t="shared" si="35"/>
        <v>2289.4562500000002</v>
      </c>
      <c r="I194" s="860">
        <f t="shared" si="36"/>
        <v>2289.4562500000002</v>
      </c>
      <c r="J194" s="860">
        <f t="shared" si="37"/>
        <v>27473.474999999999</v>
      </c>
    </row>
    <row r="195" spans="1:10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860"/>
      <c r="H195" s="860">
        <f t="shared" si="35"/>
        <v>2289.4562500000002</v>
      </c>
      <c r="I195" s="860">
        <f t="shared" si="36"/>
        <v>2289.4562500000002</v>
      </c>
      <c r="J195" s="860">
        <f t="shared" si="37"/>
        <v>27473.474999999999</v>
      </c>
    </row>
    <row r="196" spans="1:10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860"/>
      <c r="H196" s="860">
        <f t="shared" si="35"/>
        <v>2289.4562500000002</v>
      </c>
      <c r="I196" s="860">
        <f t="shared" si="36"/>
        <v>2289.4562500000002</v>
      </c>
      <c r="J196" s="860">
        <f t="shared" si="37"/>
        <v>27473.474999999999</v>
      </c>
    </row>
    <row r="197" spans="1:10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860"/>
      <c r="H197" s="860">
        <f t="shared" si="35"/>
        <v>2448.0166666666701</v>
      </c>
      <c r="I197" s="860">
        <f t="shared" si="36"/>
        <v>2448.0166666666701</v>
      </c>
      <c r="J197" s="860">
        <f t="shared" si="37"/>
        <v>29376.2</v>
      </c>
    </row>
    <row r="198" spans="1:10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860"/>
      <c r="H198" s="860">
        <f t="shared" si="35"/>
        <v>2448.0166666666701</v>
      </c>
      <c r="I198" s="860">
        <f t="shared" si="36"/>
        <v>2448.0166666666701</v>
      </c>
      <c r="J198" s="860">
        <f t="shared" si="37"/>
        <v>29376.2</v>
      </c>
    </row>
    <row r="199" spans="1:10" ht="30.75" customHeight="1">
      <c r="A199" s="25"/>
      <c r="B199" s="6" t="s">
        <v>120</v>
      </c>
      <c r="C199" s="26" t="s">
        <v>646</v>
      </c>
      <c r="D199" s="27"/>
      <c r="E199" s="78">
        <f t="shared" ref="E199:J199" si="38">SUM(E139:E198)</f>
        <v>14787756.9166667</v>
      </c>
      <c r="F199" s="856">
        <f t="shared" si="38"/>
        <v>12563688.5</v>
      </c>
      <c r="G199" s="78">
        <f t="shared" si="38"/>
        <v>72300.491666666698</v>
      </c>
      <c r="H199" s="78">
        <f t="shared" si="38"/>
        <v>314092.21250000002</v>
      </c>
      <c r="I199" s="78">
        <f t="shared" si="38"/>
        <v>241791.72083333301</v>
      </c>
      <c r="J199" s="78">
        <f t="shared" si="38"/>
        <v>3769106.55</v>
      </c>
    </row>
    <row r="200" spans="1:10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J200" si="39">E199+E136+E123+E118+E112+E102+E94+E81+E72+E62+E57+E46+E39</f>
        <v>62694852.333666697</v>
      </c>
      <c r="F200" s="867">
        <f t="shared" si="39"/>
        <v>49444664.75</v>
      </c>
      <c r="G200" s="193">
        <f t="shared" si="39"/>
        <v>267480.25624999998</v>
      </c>
      <c r="H200" s="193">
        <f t="shared" si="39"/>
        <v>1181213.7166666701</v>
      </c>
      <c r="I200" s="868">
        <f t="shared" si="39"/>
        <v>913733.460416666</v>
      </c>
      <c r="J200" s="193">
        <f t="shared" si="39"/>
        <v>9377520.0500000007</v>
      </c>
    </row>
    <row r="201" spans="1:10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649</v>
      </c>
      <c r="C202" s="29">
        <f>SUM(C200:C201)</f>
        <v>175</v>
      </c>
      <c r="D202" s="30"/>
      <c r="E202" s="193">
        <f t="shared" ref="E202:J202" si="40">E200+E201</f>
        <v>69258581.583666697</v>
      </c>
      <c r="F202" s="193">
        <f t="shared" si="40"/>
        <v>54790759.583333299</v>
      </c>
      <c r="G202" s="193">
        <f t="shared" si="40"/>
        <v>267480.25624999998</v>
      </c>
      <c r="H202" s="193">
        <f t="shared" si="40"/>
        <v>1181213.7166666701</v>
      </c>
      <c r="I202" s="193">
        <f t="shared" si="40"/>
        <v>913733.460416666</v>
      </c>
      <c r="J202" s="193">
        <f t="shared" si="40"/>
        <v>9377520.0500000007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I4" workbookViewId="0">
      <selection activeCell="P6" sqref="P6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871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871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871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872" t="s">
        <v>677</v>
      </c>
      <c r="AA4" s="420" t="s">
        <v>481</v>
      </c>
      <c r="AB4" s="434" t="s">
        <v>678</v>
      </c>
    </row>
    <row r="5" spans="1:31" ht="15.75">
      <c r="A5" s="421">
        <v>1</v>
      </c>
      <c r="B5" s="6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24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>IF(O6&lt;300000,0.07*O6,21000)</f>
        <v>21000</v>
      </c>
      <c r="Q6" s="424">
        <f t="shared" ref="Q6:Q36" si="6">IF((O6-300000)&lt;0,0,IF((O6-300000)&lt;300000,0.11*(O6-300000),33000))</f>
        <v>33000</v>
      </c>
      <c r="R6" s="424">
        <f t="shared" ref="R6:R36" si="7">IF((O6-600000)&lt;0,0,IF((O6-600000)&lt;500000,0.15*(O6-600000),75000))</f>
        <v>75000</v>
      </c>
      <c r="S6" s="424">
        <f t="shared" ref="S6:S36" si="8">IF((O6-1100000)&lt;0,0,IF((O6-1100000)&lt;500000,0.19*(O6-1100000),95000))</f>
        <v>95000</v>
      </c>
      <c r="T6" s="424">
        <f t="shared" ref="T6:T36" si="9">IF((O6-1600000)&lt;0,0,IF((O6-1600000)&lt;1600000,0.21*(O6-1600000),336000))</f>
        <v>336000</v>
      </c>
      <c r="U6" s="424">
        <f t="shared" ref="U6:U34" si="10">24%*(O6-3200000)</f>
        <v>4359641.27999999</v>
      </c>
      <c r="V6" s="424">
        <f t="shared" ref="V6:V36" si="11">P6+Q6+R6+S6+T6+U6</f>
        <v>4919641.27999999</v>
      </c>
      <c r="W6" s="431">
        <v>12</v>
      </c>
      <c r="X6" s="424">
        <f t="shared" ref="X6:X36" si="12">V6/W6</f>
        <v>409970.10666666599</v>
      </c>
      <c r="Y6" s="424"/>
      <c r="Z6" s="873">
        <f t="shared" ref="Z6:Z36" si="13">X6</f>
        <v>409970.10666666599</v>
      </c>
      <c r="AA6" s="753">
        <v>350184.01073066698</v>
      </c>
      <c r="AB6" s="753">
        <f t="shared" ref="AB6:AB36" si="14">Z6-AA6</f>
        <v>59786.095935998797</v>
      </c>
      <c r="AC6" s="436"/>
      <c r="AD6" s="436"/>
      <c r="AE6" s="436"/>
    </row>
    <row r="7" spans="1:31" ht="15.75">
      <c r="A7" s="421">
        <v>4</v>
      </c>
      <c r="B7" s="597" t="s">
        <v>27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ref="P7:P36" si="15">IF(O7&lt;300000,0.07*O7,21000)</f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1540720.6118399999</v>
      </c>
      <c r="V7" s="424">
        <f t="shared" si="11"/>
        <v>2100720.6118399999</v>
      </c>
      <c r="W7" s="431">
        <v>12</v>
      </c>
      <c r="X7" s="424">
        <f t="shared" si="12"/>
        <v>175060.05098666699</v>
      </c>
      <c r="Y7" s="424"/>
      <c r="Z7" s="873">
        <f t="shared" si="13"/>
        <v>175060.05098666699</v>
      </c>
      <c r="AA7" s="753">
        <v>149812.26282666699</v>
      </c>
      <c r="AB7" s="753">
        <f t="shared" si="14"/>
        <v>25247.788159999702</v>
      </c>
      <c r="AC7" s="436"/>
      <c r="AD7" s="436"/>
      <c r="AE7" s="436"/>
    </row>
    <row r="8" spans="1:31" ht="15.75">
      <c r="A8" s="421">
        <v>5</v>
      </c>
      <c r="B8" s="593" t="s">
        <v>30</v>
      </c>
      <c r="C8" s="422">
        <v>1463969.8983871001</v>
      </c>
      <c r="D8" s="423">
        <v>12</v>
      </c>
      <c r="E8" s="424">
        <f t="shared" si="0"/>
        <v>17567638.780645199</v>
      </c>
      <c r="F8" s="424"/>
      <c r="G8" s="424">
        <v>0</v>
      </c>
      <c r="H8" s="424"/>
      <c r="I8" s="424">
        <f t="shared" si="1"/>
        <v>17567638.780645199</v>
      </c>
      <c r="J8" s="424">
        <v>200000</v>
      </c>
      <c r="K8" s="424">
        <v>0.2</v>
      </c>
      <c r="L8" s="424">
        <f t="shared" si="2"/>
        <v>3513527.7561290399</v>
      </c>
      <c r="M8" s="424">
        <f t="shared" si="3"/>
        <v>3713527.7561290399</v>
      </c>
      <c r="N8" s="424">
        <f t="shared" si="4"/>
        <v>3713527.7561290399</v>
      </c>
      <c r="O8" s="424">
        <f t="shared" si="5"/>
        <v>13854111.024516201</v>
      </c>
      <c r="P8" s="424">
        <f t="shared" si="1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2556986.6458838801</v>
      </c>
      <c r="V8" s="424">
        <f t="shared" si="11"/>
        <v>3116986.6458838801</v>
      </c>
      <c r="W8" s="431">
        <v>12</v>
      </c>
      <c r="X8" s="424">
        <f t="shared" si="12"/>
        <v>259748.88715699001</v>
      </c>
      <c r="Y8" s="424"/>
      <c r="Z8" s="873">
        <f t="shared" si="13"/>
        <v>259748.88715699001</v>
      </c>
      <c r="AA8" s="753">
        <v>199922.31466666699</v>
      </c>
      <c r="AB8" s="753">
        <f t="shared" si="14"/>
        <v>59826.572490323</v>
      </c>
      <c r="AC8" s="436"/>
      <c r="AD8" s="436"/>
      <c r="AE8" s="436"/>
    </row>
    <row r="9" spans="1:31" ht="15.75">
      <c r="A9" s="421">
        <v>6</v>
      </c>
      <c r="B9" s="597" t="s">
        <v>32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1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1485731.64864</v>
      </c>
      <c r="V9" s="424">
        <f t="shared" si="11"/>
        <v>2045731.64864</v>
      </c>
      <c r="W9" s="431">
        <v>12</v>
      </c>
      <c r="X9" s="424">
        <f t="shared" si="12"/>
        <v>170477.63738666699</v>
      </c>
      <c r="Y9" s="424"/>
      <c r="Z9" s="873">
        <f t="shared" si="13"/>
        <v>170477.63738666699</v>
      </c>
      <c r="AA9" s="753">
        <v>147687.52761066699</v>
      </c>
      <c r="AB9" s="753">
        <f t="shared" si="14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34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2250497.6820000098</v>
      </c>
      <c r="M10" s="424">
        <f t="shared" si="3"/>
        <v>2450497.6820000098</v>
      </c>
      <c r="N10" s="424">
        <f t="shared" si="4"/>
        <v>3426116.2720000101</v>
      </c>
      <c r="O10" s="424">
        <f t="shared" si="5"/>
        <v>8801990.7280000299</v>
      </c>
      <c r="P10" s="424">
        <f t="shared" si="1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1344477.7747200101</v>
      </c>
      <c r="V10" s="424">
        <f t="shared" si="11"/>
        <v>1904477.7747200101</v>
      </c>
      <c r="W10" s="431">
        <v>12</v>
      </c>
      <c r="X10" s="424">
        <f t="shared" si="12"/>
        <v>158706.48122666701</v>
      </c>
      <c r="Y10" s="424"/>
      <c r="Z10" s="873">
        <f t="shared" si="13"/>
        <v>158706.48122666701</v>
      </c>
      <c r="AA10" s="753">
        <v>129694.695226667</v>
      </c>
      <c r="AB10" s="753">
        <f t="shared" si="14"/>
        <v>29011.786000000498</v>
      </c>
      <c r="AC10" s="436"/>
      <c r="AD10" s="436"/>
      <c r="AE10" s="436"/>
    </row>
    <row r="11" spans="1:31" ht="15.75">
      <c r="A11" s="421">
        <v>8</v>
      </c>
      <c r="B11" s="597" t="s">
        <v>37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1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1519421.86944</v>
      </c>
      <c r="V11" s="424">
        <f t="shared" si="11"/>
        <v>2079421.86944</v>
      </c>
      <c r="W11" s="431">
        <v>12</v>
      </c>
      <c r="X11" s="424">
        <f t="shared" si="12"/>
        <v>173285.15578666699</v>
      </c>
      <c r="Y11" s="424"/>
      <c r="Z11" s="873">
        <f t="shared" si="13"/>
        <v>173285.15578666699</v>
      </c>
      <c r="AA11" s="753">
        <v>150463.10967466701</v>
      </c>
      <c r="AB11" s="753">
        <f t="shared" si="14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40</v>
      </c>
      <c r="C12" s="422">
        <v>780713.91666666605</v>
      </c>
      <c r="D12" s="423">
        <v>12</v>
      </c>
      <c r="E12" s="424">
        <f t="shared" si="0"/>
        <v>9368566.9999999907</v>
      </c>
      <c r="F12" s="424"/>
      <c r="G12" s="424">
        <v>566070.72</v>
      </c>
      <c r="H12" s="424"/>
      <c r="I12" s="424">
        <f t="shared" si="1"/>
        <v>8802496.27999999</v>
      </c>
      <c r="J12" s="424">
        <v>200000</v>
      </c>
      <c r="K12" s="424">
        <v>0.2</v>
      </c>
      <c r="L12" s="424">
        <f t="shared" si="2"/>
        <v>1760499.2560000001</v>
      </c>
      <c r="M12" s="424">
        <f t="shared" si="3"/>
        <v>1960499.2560000001</v>
      </c>
      <c r="N12" s="424">
        <f t="shared" si="4"/>
        <v>2526569.9759999998</v>
      </c>
      <c r="O12" s="424">
        <f t="shared" si="5"/>
        <v>6841997.02399999</v>
      </c>
      <c r="P12" s="424">
        <f t="shared" si="1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874079.28575999895</v>
      </c>
      <c r="V12" s="424">
        <f t="shared" si="11"/>
        <v>1434079.2857600001</v>
      </c>
      <c r="W12" s="431">
        <v>12</v>
      </c>
      <c r="X12" s="424">
        <f t="shared" si="12"/>
        <v>119506.607146667</v>
      </c>
      <c r="Y12" s="424"/>
      <c r="Z12" s="873">
        <f t="shared" si="13"/>
        <v>119506.607146667</v>
      </c>
      <c r="AA12" s="753">
        <v>77666.445866666705</v>
      </c>
      <c r="AB12" s="753">
        <f t="shared" si="14"/>
        <v>41840.161279999898</v>
      </c>
      <c r="AC12" s="436"/>
      <c r="AD12" s="436"/>
      <c r="AE12" s="436"/>
    </row>
    <row r="13" spans="1:31" ht="15.75">
      <c r="A13" s="421">
        <v>10</v>
      </c>
      <c r="B13" s="593" t="s">
        <v>43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1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1199511.2294399999</v>
      </c>
      <c r="V13" s="424">
        <f t="shared" si="11"/>
        <v>1759511.2294399999</v>
      </c>
      <c r="W13" s="431">
        <v>12</v>
      </c>
      <c r="X13" s="424">
        <f t="shared" si="12"/>
        <v>146625.93578666699</v>
      </c>
      <c r="Y13" s="424"/>
      <c r="Z13" s="873">
        <f t="shared" si="13"/>
        <v>146625.93578666699</v>
      </c>
      <c r="AA13" s="753">
        <v>141011.988957867</v>
      </c>
      <c r="AB13" s="753">
        <f t="shared" si="14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45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1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1265691.7171199999</v>
      </c>
      <c r="V14" s="424">
        <f t="shared" si="11"/>
        <v>1825691.7171199999</v>
      </c>
      <c r="W14" s="431">
        <v>12</v>
      </c>
      <c r="X14" s="424">
        <f t="shared" si="12"/>
        <v>152140.97642666701</v>
      </c>
      <c r="Y14" s="424"/>
      <c r="Z14" s="873">
        <f t="shared" si="13"/>
        <v>152140.97642666701</v>
      </c>
      <c r="AA14" s="753">
        <v>131753.40842666701</v>
      </c>
      <c r="AB14" s="753">
        <f t="shared" si="14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48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1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968809.27487999795</v>
      </c>
      <c r="V15" s="424">
        <f t="shared" si="11"/>
        <v>1528809.2748799999</v>
      </c>
      <c r="W15" s="431">
        <v>12</v>
      </c>
      <c r="X15" s="424">
        <f t="shared" si="12"/>
        <v>127400.772906667</v>
      </c>
      <c r="Y15" s="424"/>
      <c r="Z15" s="873">
        <f t="shared" si="13"/>
        <v>127400.772906667</v>
      </c>
      <c r="AA15" s="753">
        <v>106452</v>
      </c>
      <c r="AB15" s="753">
        <f t="shared" si="14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51</v>
      </c>
      <c r="C16" s="422">
        <v>682419.5</v>
      </c>
      <c r="D16" s="423">
        <v>12</v>
      </c>
      <c r="E16" s="424">
        <f t="shared" si="0"/>
        <v>8189034</v>
      </c>
      <c r="F16" s="424"/>
      <c r="G16" s="424">
        <v>519697.27999999898</v>
      </c>
      <c r="H16" s="424"/>
      <c r="I16" s="424">
        <f t="shared" si="1"/>
        <v>7669336.7199999997</v>
      </c>
      <c r="J16" s="424">
        <v>200000</v>
      </c>
      <c r="K16" s="424">
        <v>0.2</v>
      </c>
      <c r="L16" s="424">
        <f t="shared" si="2"/>
        <v>1533867.344</v>
      </c>
      <c r="M16" s="424">
        <f t="shared" si="3"/>
        <v>1733867.344</v>
      </c>
      <c r="N16" s="424">
        <f t="shared" si="4"/>
        <v>2253564.6239999998</v>
      </c>
      <c r="O16" s="424">
        <f t="shared" si="5"/>
        <v>5935469.3760000002</v>
      </c>
      <c r="P16" s="424">
        <f t="shared" si="1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656512.65023999999</v>
      </c>
      <c r="V16" s="424">
        <f t="shared" si="11"/>
        <v>1216512.6502400001</v>
      </c>
      <c r="W16" s="431">
        <v>12</v>
      </c>
      <c r="X16" s="424">
        <f t="shared" si="12"/>
        <v>101376.054186667</v>
      </c>
      <c r="Y16" s="424"/>
      <c r="Z16" s="873">
        <f t="shared" si="13"/>
        <v>101376.054186667</v>
      </c>
      <c r="AA16" s="753">
        <v>77470.374186666697</v>
      </c>
      <c r="AB16" s="753">
        <f t="shared" si="14"/>
        <v>23905.68</v>
      </c>
      <c r="AC16" s="436"/>
      <c r="AD16" s="436"/>
      <c r="AE16" s="436"/>
    </row>
    <row r="17" spans="1:31" ht="15.75">
      <c r="A17" s="421">
        <v>14</v>
      </c>
      <c r="B17" s="313" t="s">
        <v>54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1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1018815.63744</v>
      </c>
      <c r="V17" s="424">
        <f t="shared" si="11"/>
        <v>1578815.63744</v>
      </c>
      <c r="W17" s="431">
        <v>12</v>
      </c>
      <c r="X17" s="424">
        <f t="shared" si="12"/>
        <v>131567.969786667</v>
      </c>
      <c r="Y17" s="424"/>
      <c r="Z17" s="873">
        <f t="shared" si="13"/>
        <v>131567.969786667</v>
      </c>
      <c r="AA17" s="753">
        <v>113474.903466667</v>
      </c>
      <c r="AB17" s="753">
        <f t="shared" si="14"/>
        <v>18093.066319999602</v>
      </c>
      <c r="AC17" s="436"/>
      <c r="AD17" s="436"/>
      <c r="AE17" s="436"/>
    </row>
    <row r="18" spans="1:31" ht="15.75">
      <c r="A18" s="421">
        <v>15</v>
      </c>
      <c r="B18" s="313" t="s">
        <v>57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1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381810.65951999999</v>
      </c>
      <c r="V18" s="424">
        <f t="shared" si="11"/>
        <v>941810.65951999999</v>
      </c>
      <c r="W18" s="431">
        <v>12</v>
      </c>
      <c r="X18" s="424">
        <f t="shared" si="12"/>
        <v>78484.221626666695</v>
      </c>
      <c r="Y18" s="424"/>
      <c r="Z18" s="873">
        <f t="shared" si="13"/>
        <v>78484.221626666695</v>
      </c>
      <c r="AA18" s="753">
        <v>61040.235306666596</v>
      </c>
      <c r="AB18" s="753">
        <f t="shared" si="14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60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1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514963.03872000001</v>
      </c>
      <c r="V19" s="424">
        <f t="shared" si="11"/>
        <v>1074963.0387200001</v>
      </c>
      <c r="W19" s="431">
        <v>12</v>
      </c>
      <c r="X19" s="424">
        <f t="shared" si="12"/>
        <v>89580.253226666697</v>
      </c>
      <c r="Y19" s="424"/>
      <c r="Z19" s="873">
        <f t="shared" si="13"/>
        <v>89580.253226666697</v>
      </c>
      <c r="AA19" s="753">
        <v>70640.235306666698</v>
      </c>
      <c r="AB19" s="753">
        <f t="shared" si="14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62</v>
      </c>
      <c r="C20" s="422">
        <v>802846.58333333395</v>
      </c>
      <c r="D20" s="423">
        <v>12</v>
      </c>
      <c r="E20" s="424">
        <f t="shared" si="0"/>
        <v>9634159.0000000093</v>
      </c>
      <c r="F20" s="424">
        <v>93328.324999999997</v>
      </c>
      <c r="G20" s="424">
        <v>476637.28</v>
      </c>
      <c r="H20" s="424"/>
      <c r="I20" s="424">
        <f t="shared" si="1"/>
        <v>9064193.3950000107</v>
      </c>
      <c r="J20" s="424">
        <v>200000</v>
      </c>
      <c r="K20" s="424">
        <v>0.2</v>
      </c>
      <c r="L20" s="424">
        <f t="shared" si="2"/>
        <v>1812838.679</v>
      </c>
      <c r="M20" s="424">
        <f t="shared" si="3"/>
        <v>2012838.679</v>
      </c>
      <c r="N20" s="424">
        <f t="shared" si="4"/>
        <v>2582804.284</v>
      </c>
      <c r="O20" s="424">
        <f t="shared" si="5"/>
        <v>7051354.7160000103</v>
      </c>
      <c r="P20" s="424">
        <f t="shared" si="1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924325.13184000098</v>
      </c>
      <c r="V20" s="424">
        <f t="shared" si="11"/>
        <v>1484325.1318399999</v>
      </c>
      <c r="W20" s="431">
        <v>12</v>
      </c>
      <c r="X20" s="424">
        <f t="shared" si="12"/>
        <v>123693.760986667</v>
      </c>
      <c r="Y20" s="424"/>
      <c r="Z20" s="873">
        <f t="shared" si="13"/>
        <v>123693.760986667</v>
      </c>
      <c r="AA20" s="753">
        <v>106297.15</v>
      </c>
      <c r="AB20" s="753">
        <f t="shared" si="14"/>
        <v>17396.610986666699</v>
      </c>
      <c r="AC20" s="436"/>
      <c r="AD20" s="436"/>
      <c r="AE20" s="436"/>
    </row>
    <row r="21" spans="1:31" ht="15.75">
      <c r="A21" s="421">
        <v>18</v>
      </c>
      <c r="B21" s="597" t="s">
        <v>65</v>
      </c>
      <c r="C21" s="422">
        <v>702846.58333333302</v>
      </c>
      <c r="D21" s="423">
        <v>12</v>
      </c>
      <c r="E21" s="424">
        <f t="shared" si="0"/>
        <v>8434159</v>
      </c>
      <c r="F21" s="424"/>
      <c r="G21" s="424">
        <v>463356.16000000102</v>
      </c>
      <c r="H21" s="424"/>
      <c r="I21" s="424">
        <f t="shared" si="1"/>
        <v>7970802.8399999999</v>
      </c>
      <c r="J21" s="424">
        <v>200000</v>
      </c>
      <c r="K21" s="424">
        <v>0.2</v>
      </c>
      <c r="L21" s="424">
        <f t="shared" si="2"/>
        <v>1594160.568</v>
      </c>
      <c r="M21" s="424">
        <f t="shared" si="3"/>
        <v>1794160.568</v>
      </c>
      <c r="N21" s="424">
        <f t="shared" si="4"/>
        <v>2257516.7280000001</v>
      </c>
      <c r="O21" s="424">
        <f t="shared" si="5"/>
        <v>6176642.2719999999</v>
      </c>
      <c r="P21" s="424">
        <f t="shared" si="1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714394.14527999901</v>
      </c>
      <c r="V21" s="424">
        <f t="shared" si="11"/>
        <v>1274394.1452800001</v>
      </c>
      <c r="W21" s="431">
        <v>12</v>
      </c>
      <c r="X21" s="424">
        <f t="shared" si="12"/>
        <v>106199.512106667</v>
      </c>
      <c r="Y21" s="424"/>
      <c r="Z21" s="873">
        <f t="shared" si="13"/>
        <v>106199.512106667</v>
      </c>
      <c r="AA21" s="753">
        <v>82601.204906666695</v>
      </c>
      <c r="AB21" s="753">
        <f t="shared" si="14"/>
        <v>23598.307199999901</v>
      </c>
      <c r="AC21" s="436"/>
      <c r="AD21" s="436"/>
      <c r="AE21" s="436"/>
    </row>
    <row r="22" spans="1:31" ht="15.75">
      <c r="A22" s="421">
        <v>19</v>
      </c>
      <c r="B22" s="593" t="s">
        <v>68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1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839640.79871999903</v>
      </c>
      <c r="V22" s="424">
        <f t="shared" si="11"/>
        <v>1399640.7987200001</v>
      </c>
      <c r="W22" s="431">
        <v>12</v>
      </c>
      <c r="X22" s="424">
        <f t="shared" si="12"/>
        <v>116636.733226667</v>
      </c>
      <c r="Y22" s="424"/>
      <c r="Z22" s="873">
        <f t="shared" si="13"/>
        <v>116636.733226667</v>
      </c>
      <c r="AA22" s="753">
        <v>98711.114666666705</v>
      </c>
      <c r="AB22" s="753">
        <f t="shared" si="14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71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1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401880.79871999897</v>
      </c>
      <c r="V23" s="424">
        <f t="shared" si="11"/>
        <v>961880.79871999903</v>
      </c>
      <c r="W23" s="431">
        <v>12</v>
      </c>
      <c r="X23" s="424">
        <f t="shared" si="12"/>
        <v>80156.733226666605</v>
      </c>
      <c r="Y23" s="424"/>
      <c r="Z23" s="873">
        <f t="shared" si="13"/>
        <v>80156.733226666605</v>
      </c>
      <c r="AA23" s="753">
        <v>62231.114666666697</v>
      </c>
      <c r="AB23" s="753">
        <f t="shared" si="14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73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1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336000</v>
      </c>
      <c r="U24" s="424">
        <f t="shared" si="10"/>
        <v>590936.24831999897</v>
      </c>
      <c r="V24" s="424">
        <f t="shared" si="11"/>
        <v>1150936.24832</v>
      </c>
      <c r="W24" s="431">
        <v>12</v>
      </c>
      <c r="X24" s="424">
        <f t="shared" si="12"/>
        <v>95911.354026666595</v>
      </c>
      <c r="Y24" s="424"/>
      <c r="Z24" s="873">
        <f t="shared" si="13"/>
        <v>95911.354026666595</v>
      </c>
      <c r="AA24" s="753">
        <v>80347.426986666702</v>
      </c>
      <c r="AB24" s="753">
        <f t="shared" si="14"/>
        <v>15563.9270399999</v>
      </c>
      <c r="AC24" s="436"/>
      <c r="AD24" s="436"/>
      <c r="AE24" s="436"/>
    </row>
    <row r="25" spans="1:31" ht="15.75">
      <c r="A25" s="421">
        <v>22</v>
      </c>
      <c r="B25" s="593" t="s">
        <v>76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1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336000</v>
      </c>
      <c r="U25" s="424">
        <f t="shared" si="10"/>
        <v>130136.24831999801</v>
      </c>
      <c r="V25" s="424">
        <f t="shared" si="11"/>
        <v>690136.24831999803</v>
      </c>
      <c r="W25" s="431">
        <v>12</v>
      </c>
      <c r="X25" s="424">
        <f t="shared" si="12"/>
        <v>57511.3540266665</v>
      </c>
      <c r="Y25" s="424"/>
      <c r="Z25" s="873">
        <f t="shared" si="13"/>
        <v>57511.3540266665</v>
      </c>
      <c r="AA25" s="753">
        <v>42537.331946666702</v>
      </c>
      <c r="AB25" s="753">
        <f t="shared" si="14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483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1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336000</v>
      </c>
      <c r="U26" s="424">
        <f t="shared" si="10"/>
        <v>75406.110720000594</v>
      </c>
      <c r="V26" s="424">
        <f t="shared" si="11"/>
        <v>635406.11072000104</v>
      </c>
      <c r="W26" s="431">
        <v>12</v>
      </c>
      <c r="X26" s="424">
        <f t="shared" si="12"/>
        <v>52950.509226666698</v>
      </c>
      <c r="Y26" s="424"/>
      <c r="Z26" s="873">
        <f t="shared" si="13"/>
        <v>52950.509226666698</v>
      </c>
      <c r="AA26" s="753">
        <v>39052.313066666698</v>
      </c>
      <c r="AB26" s="753">
        <f t="shared" si="14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499443.99999999697</v>
      </c>
      <c r="D27" s="423">
        <v>12</v>
      </c>
      <c r="E27" s="424">
        <f t="shared" si="0"/>
        <v>5993327.9999999702</v>
      </c>
      <c r="F27" s="424"/>
      <c r="G27" s="424">
        <v>341107.84000000102</v>
      </c>
      <c r="H27" s="424"/>
      <c r="I27" s="424">
        <f t="shared" si="1"/>
        <v>5652220.1599999703</v>
      </c>
      <c r="J27" s="424">
        <v>200000</v>
      </c>
      <c r="K27" s="424">
        <v>0.2</v>
      </c>
      <c r="L27" s="424">
        <f t="shared" si="2"/>
        <v>1130444.0319999901</v>
      </c>
      <c r="M27" s="424">
        <f t="shared" si="3"/>
        <v>1330444.0319999901</v>
      </c>
      <c r="N27" s="424">
        <f t="shared" si="4"/>
        <v>1671551.87199999</v>
      </c>
      <c r="O27" s="424">
        <f t="shared" si="5"/>
        <v>4321776.1279999698</v>
      </c>
      <c r="P27" s="424">
        <f t="shared" si="15"/>
        <v>21000</v>
      </c>
      <c r="Q27" s="424">
        <f t="shared" si="6"/>
        <v>33000</v>
      </c>
      <c r="R27" s="424">
        <f t="shared" si="7"/>
        <v>75000</v>
      </c>
      <c r="S27" s="424">
        <f t="shared" si="8"/>
        <v>95000</v>
      </c>
      <c r="T27" s="424">
        <f t="shared" si="9"/>
        <v>336000</v>
      </c>
      <c r="U27" s="424">
        <f t="shared" si="10"/>
        <v>269226.27071999299</v>
      </c>
      <c r="V27" s="424">
        <f t="shared" si="11"/>
        <v>829226.27071999304</v>
      </c>
      <c r="W27" s="431">
        <v>12</v>
      </c>
      <c r="X27" s="424">
        <f t="shared" si="12"/>
        <v>69102.189226666102</v>
      </c>
      <c r="Y27" s="424"/>
      <c r="Z27" s="873">
        <f t="shared" si="13"/>
        <v>69102.189226666102</v>
      </c>
      <c r="AA27" s="753">
        <v>39052.313066666698</v>
      </c>
      <c r="AB27" s="753">
        <f t="shared" si="14"/>
        <v>30049.8761599994</v>
      </c>
      <c r="AC27" s="436"/>
      <c r="AD27" s="436"/>
      <c r="AE27" s="436"/>
    </row>
    <row r="28" spans="1:31" ht="15.75">
      <c r="A28" s="421">
        <v>25</v>
      </c>
      <c r="B28" s="597" t="s">
        <v>82</v>
      </c>
      <c r="C28" s="422">
        <v>684288.35714285204</v>
      </c>
      <c r="D28" s="423">
        <v>12</v>
      </c>
      <c r="E28" s="424">
        <f t="shared" si="0"/>
        <v>8211460.2857142203</v>
      </c>
      <c r="F28" s="424"/>
      <c r="G28" s="424">
        <v>341107.84000000102</v>
      </c>
      <c r="H28" s="424"/>
      <c r="I28" s="424">
        <f t="shared" si="1"/>
        <v>7870352.4457142204</v>
      </c>
      <c r="J28" s="424">
        <v>200000</v>
      </c>
      <c r="K28" s="424">
        <v>0.2</v>
      </c>
      <c r="L28" s="424">
        <f t="shared" si="2"/>
        <v>1574070.48914284</v>
      </c>
      <c r="M28" s="424">
        <f t="shared" si="3"/>
        <v>1774070.48914284</v>
      </c>
      <c r="N28" s="424">
        <f t="shared" si="4"/>
        <v>2115178.3291428499</v>
      </c>
      <c r="O28" s="424">
        <f t="shared" si="5"/>
        <v>6096281.9565713797</v>
      </c>
      <c r="P28" s="424">
        <f t="shared" si="1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336000</v>
      </c>
      <c r="U28" s="424">
        <f t="shared" si="10"/>
        <v>695107.66957713105</v>
      </c>
      <c r="V28" s="424">
        <f t="shared" si="11"/>
        <v>1255107.6695771299</v>
      </c>
      <c r="W28" s="431">
        <v>12</v>
      </c>
      <c r="X28" s="424">
        <f t="shared" si="12"/>
        <v>104592.30579809401</v>
      </c>
      <c r="Y28" s="424"/>
      <c r="Z28" s="873">
        <f t="shared" si="13"/>
        <v>104592.30579809401</v>
      </c>
      <c r="AA28" s="753">
        <v>45772.313066666698</v>
      </c>
      <c r="AB28" s="753">
        <f t="shared" si="14"/>
        <v>58819.992731427599</v>
      </c>
      <c r="AC28" s="436"/>
      <c r="AD28" s="436"/>
      <c r="AE28" s="436"/>
    </row>
    <row r="29" spans="1:31" ht="15.75">
      <c r="A29" s="421">
        <v>26</v>
      </c>
      <c r="B29" s="313" t="s">
        <v>84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1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336000</v>
      </c>
      <c r="U29" s="424">
        <f t="shared" si="10"/>
        <v>57803.228159998398</v>
      </c>
      <c r="V29" s="424">
        <f t="shared" si="11"/>
        <v>617803.22815999796</v>
      </c>
      <c r="W29" s="431">
        <v>12</v>
      </c>
      <c r="X29" s="424">
        <f t="shared" si="12"/>
        <v>51483.602346666499</v>
      </c>
      <c r="Y29" s="424"/>
      <c r="Z29" s="873">
        <f t="shared" si="13"/>
        <v>51483.602346666499</v>
      </c>
      <c r="AA29" s="753">
        <v>37921.500586666698</v>
      </c>
      <c r="AB29" s="753">
        <f t="shared" si="14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87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1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336000</v>
      </c>
      <c r="U30" s="424">
        <f t="shared" si="10"/>
        <v>40200.345600000503</v>
      </c>
      <c r="V30" s="424">
        <f t="shared" si="11"/>
        <v>600200.3456</v>
      </c>
      <c r="W30" s="431">
        <v>12</v>
      </c>
      <c r="X30" s="424">
        <f t="shared" si="12"/>
        <v>50016.695466666701</v>
      </c>
      <c r="Y30" s="424"/>
      <c r="Z30" s="873">
        <f t="shared" si="13"/>
        <v>50016.695466666701</v>
      </c>
      <c r="AA30" s="753">
        <v>36790.688106666697</v>
      </c>
      <c r="AB30" s="753">
        <f t="shared" si="14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6026978.1935483599</v>
      </c>
      <c r="F31" s="424"/>
      <c r="G31" s="425">
        <v>325163.200000001</v>
      </c>
      <c r="H31" s="424"/>
      <c r="I31" s="424">
        <f t="shared" si="1"/>
        <v>5701814.9935483597</v>
      </c>
      <c r="J31" s="424">
        <v>200000</v>
      </c>
      <c r="K31" s="424">
        <v>0.2</v>
      </c>
      <c r="L31" s="424">
        <f t="shared" si="2"/>
        <v>1140362.99870967</v>
      </c>
      <c r="M31" s="424">
        <f t="shared" si="3"/>
        <v>1340362.99870967</v>
      </c>
      <c r="N31" s="424">
        <f t="shared" si="4"/>
        <v>1665526.19870967</v>
      </c>
      <c r="O31" s="424">
        <f t="shared" si="5"/>
        <v>4361451.9948386904</v>
      </c>
      <c r="P31" s="424">
        <f t="shared" si="1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336000</v>
      </c>
      <c r="U31" s="424">
        <f t="shared" si="10"/>
        <v>278748.47876128601</v>
      </c>
      <c r="V31" s="424">
        <f t="shared" si="11"/>
        <v>838748.47876128601</v>
      </c>
      <c r="W31" s="431">
        <v>12</v>
      </c>
      <c r="X31" s="424">
        <f t="shared" si="12"/>
        <v>69895.706563440501</v>
      </c>
      <c r="Y31" s="424"/>
      <c r="Z31" s="873">
        <f t="shared" si="13"/>
        <v>69895.706563440501</v>
      </c>
      <c r="AA31" s="753">
        <v>36790.688106666697</v>
      </c>
      <c r="AB31" s="753">
        <f t="shared" si="14"/>
        <v>33105.018456773803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5609074.3225806197</v>
      </c>
      <c r="F32" s="424"/>
      <c r="G32" s="425">
        <v>341107.84000000102</v>
      </c>
      <c r="H32" s="424"/>
      <c r="I32" s="424">
        <f t="shared" si="1"/>
        <v>5267966.4825806199</v>
      </c>
      <c r="J32" s="424">
        <v>200000</v>
      </c>
      <c r="K32" s="424">
        <v>0.2</v>
      </c>
      <c r="L32" s="424">
        <f t="shared" si="2"/>
        <v>1053593.29651612</v>
      </c>
      <c r="M32" s="424">
        <f t="shared" si="3"/>
        <v>1253593.29651612</v>
      </c>
      <c r="N32" s="424">
        <f t="shared" si="4"/>
        <v>1594701.1365161301</v>
      </c>
      <c r="O32" s="424">
        <f t="shared" si="5"/>
        <v>4014373.1860644999</v>
      </c>
      <c r="P32" s="424">
        <f t="shared" si="1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336000</v>
      </c>
      <c r="U32" s="424">
        <f t="shared" si="10"/>
        <v>195449.56465547899</v>
      </c>
      <c r="V32" s="424">
        <f t="shared" si="11"/>
        <v>755449.56465547904</v>
      </c>
      <c r="W32" s="431">
        <v>12</v>
      </c>
      <c r="X32" s="424">
        <f t="shared" si="12"/>
        <v>62954.130387956597</v>
      </c>
      <c r="Y32" s="424"/>
      <c r="Z32" s="873">
        <f t="shared" si="13"/>
        <v>62954.130387956597</v>
      </c>
      <c r="AA32" s="753">
        <v>39052.313066666698</v>
      </c>
      <c r="AB32" s="753">
        <f t="shared" si="14"/>
        <v>23901.817321289898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15"/>
        <v>21000</v>
      </c>
      <c r="Q33" s="424">
        <f t="shared" si="6"/>
        <v>33000</v>
      </c>
      <c r="R33" s="424">
        <f t="shared" si="7"/>
        <v>75000</v>
      </c>
      <c r="S33" s="424">
        <f t="shared" si="8"/>
        <v>95000</v>
      </c>
      <c r="T33" s="424">
        <f t="shared" si="9"/>
        <v>336000</v>
      </c>
      <c r="U33" s="424">
        <f t="shared" si="10"/>
        <v>37138.9747200005</v>
      </c>
      <c r="V33" s="424">
        <f t="shared" si="11"/>
        <v>597138.97472000099</v>
      </c>
      <c r="W33" s="431">
        <v>12</v>
      </c>
      <c r="X33" s="424">
        <f t="shared" si="12"/>
        <v>49761.581226666698</v>
      </c>
      <c r="Y33" s="424"/>
      <c r="Z33" s="873">
        <f t="shared" si="13"/>
        <v>49761.581226666698</v>
      </c>
      <c r="AA33" s="753">
        <v>36790.688106666697</v>
      </c>
      <c r="AB33" s="753">
        <f t="shared" si="14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95</v>
      </c>
      <c r="C34" s="424">
        <v>432145.33333333302</v>
      </c>
      <c r="D34" s="423">
        <v>12</v>
      </c>
      <c r="E34" s="424">
        <f t="shared" si="0"/>
        <v>5185744</v>
      </c>
      <c r="F34" s="424"/>
      <c r="G34" s="425">
        <v>341107.84000000102</v>
      </c>
      <c r="H34" s="424"/>
      <c r="I34" s="424">
        <f t="shared" si="1"/>
        <v>4844636.1600000001</v>
      </c>
      <c r="J34" s="424">
        <v>200000</v>
      </c>
      <c r="K34" s="424">
        <v>0.2</v>
      </c>
      <c r="L34" s="424">
        <f t="shared" si="2"/>
        <v>968927.23199999903</v>
      </c>
      <c r="M34" s="424">
        <f t="shared" si="3"/>
        <v>1168927.2320000001</v>
      </c>
      <c r="N34" s="424">
        <f t="shared" si="4"/>
        <v>1510035.0719999999</v>
      </c>
      <c r="O34" s="424">
        <f t="shared" si="5"/>
        <v>3675708.9279999998</v>
      </c>
      <c r="P34" s="424">
        <f t="shared" si="15"/>
        <v>21000</v>
      </c>
      <c r="Q34" s="424">
        <f t="shared" si="6"/>
        <v>33000</v>
      </c>
      <c r="R34" s="424">
        <f t="shared" si="7"/>
        <v>75000</v>
      </c>
      <c r="S34" s="424">
        <f t="shared" si="8"/>
        <v>95000</v>
      </c>
      <c r="T34" s="424">
        <f t="shared" si="9"/>
        <v>336000</v>
      </c>
      <c r="U34" s="424">
        <f t="shared" si="10"/>
        <v>114170.142719999</v>
      </c>
      <c r="V34" s="424">
        <f t="shared" si="11"/>
        <v>674170.14271999896</v>
      </c>
      <c r="W34" s="431">
        <v>12</v>
      </c>
      <c r="X34" s="424">
        <f t="shared" si="12"/>
        <v>56180.845226666599</v>
      </c>
      <c r="Y34" s="424"/>
      <c r="Z34" s="873">
        <f t="shared" si="13"/>
        <v>56180.845226666599</v>
      </c>
      <c r="AA34" s="753">
        <v>36790.688106666697</v>
      </c>
      <c r="AB34" s="753">
        <f t="shared" si="14"/>
        <v>19390.157119999902</v>
      </c>
      <c r="AC34" s="436"/>
      <c r="AD34" s="436"/>
      <c r="AE34" s="436"/>
    </row>
    <row r="35" spans="1:31" ht="15.75">
      <c r="A35" s="421">
        <v>33</v>
      </c>
      <c r="B35" s="313" t="s">
        <v>103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15"/>
        <v>21000</v>
      </c>
      <c r="Q35" s="424">
        <f t="shared" si="6"/>
        <v>33000</v>
      </c>
      <c r="R35" s="424">
        <f t="shared" si="7"/>
        <v>75000</v>
      </c>
      <c r="S35" s="424">
        <f t="shared" si="8"/>
        <v>95000</v>
      </c>
      <c r="T35" s="424">
        <f t="shared" si="9"/>
        <v>282759.90623999998</v>
      </c>
      <c r="U35" s="424"/>
      <c r="V35" s="424">
        <f t="shared" si="11"/>
        <v>506759.90623999998</v>
      </c>
      <c r="W35" s="424">
        <v>12</v>
      </c>
      <c r="X35" s="424">
        <f t="shared" si="12"/>
        <v>42229.992186666699</v>
      </c>
      <c r="Y35" s="424"/>
      <c r="Z35" s="873">
        <f t="shared" si="13"/>
        <v>42229.992186666699</v>
      </c>
      <c r="AA35" s="424">
        <v>30259.165626666701</v>
      </c>
      <c r="AB35" s="753">
        <f t="shared" si="14"/>
        <v>11970.82656</v>
      </c>
      <c r="AC35" s="436"/>
      <c r="AD35" s="436"/>
      <c r="AE35" s="436"/>
    </row>
    <row r="36" spans="1:31" ht="31.5">
      <c r="A36" s="421">
        <v>34</v>
      </c>
      <c r="B36" s="313" t="s">
        <v>106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15"/>
        <v>21000</v>
      </c>
      <c r="Q36" s="424">
        <f t="shared" si="6"/>
        <v>33000</v>
      </c>
      <c r="R36" s="424">
        <f t="shared" si="7"/>
        <v>75000</v>
      </c>
      <c r="S36" s="424">
        <f t="shared" si="8"/>
        <v>95000</v>
      </c>
      <c r="T36" s="424">
        <f t="shared" si="9"/>
        <v>269758.47360000102</v>
      </c>
      <c r="U36" s="424"/>
      <c r="V36" s="424">
        <f t="shared" si="11"/>
        <v>493758.47360000102</v>
      </c>
      <c r="W36" s="424">
        <v>12</v>
      </c>
      <c r="X36" s="424">
        <f t="shared" si="12"/>
        <v>41146.539466666698</v>
      </c>
      <c r="Y36" s="424"/>
      <c r="Z36" s="873">
        <f t="shared" si="13"/>
        <v>41146.539466666698</v>
      </c>
      <c r="AA36" s="753">
        <v>29305.195546666699</v>
      </c>
      <c r="AB36" s="753">
        <f t="shared" si="14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122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127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129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7496620.8666666402</v>
      </c>
      <c r="J41" s="424">
        <v>200000</v>
      </c>
      <c r="K41" s="424">
        <v>0.2</v>
      </c>
      <c r="L41" s="424">
        <f t="shared" si="18"/>
        <v>1499324.1733333301</v>
      </c>
      <c r="M41" s="424">
        <f t="shared" si="19"/>
        <v>1699324.1733333301</v>
      </c>
      <c r="N41" s="424">
        <f t="shared" si="20"/>
        <v>2073854.57333333</v>
      </c>
      <c r="O41" s="424">
        <f t="shared" si="21"/>
        <v>5797296.6933333101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623351.20639999502</v>
      </c>
      <c r="V41" s="424">
        <f t="shared" si="28"/>
        <v>1183351.20639999</v>
      </c>
      <c r="W41" s="431">
        <v>12</v>
      </c>
      <c r="X41" s="424">
        <f t="shared" si="29"/>
        <v>98612.600533332894</v>
      </c>
      <c r="Y41" s="424"/>
      <c r="Z41" s="873">
        <f t="shared" si="30"/>
        <v>98612.600533332894</v>
      </c>
      <c r="AA41" s="753">
        <v>43763.907226666699</v>
      </c>
      <c r="AB41" s="753">
        <f t="shared" si="31"/>
        <v>54848.693306666202</v>
      </c>
      <c r="AC41" s="436"/>
      <c r="AD41" s="436"/>
      <c r="AE41" s="436"/>
    </row>
    <row r="42" spans="1:31" ht="15.75">
      <c r="A42" s="421"/>
      <c r="B42" s="597" t="s">
        <v>133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137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138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319502.658986667</v>
      </c>
      <c r="Y45" s="424"/>
      <c r="Z45" s="873">
        <f t="shared" ref="Z45:Z52" si="45">X45</f>
        <v>319502.658986667</v>
      </c>
      <c r="AA45" s="753">
        <v>162999.59</v>
      </c>
      <c r="AB45" s="753">
        <f t="shared" ref="AB45:AB52" si="46">Z45-AA45</f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141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164591.786666667</v>
      </c>
      <c r="Y47" s="427"/>
      <c r="Z47" s="873">
        <f t="shared" si="45"/>
        <v>164591.786666667</v>
      </c>
      <c r="AA47" s="753">
        <v>118861.965706667</v>
      </c>
      <c r="AB47" s="753">
        <f t="shared" si="46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155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157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158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160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163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164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171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7447035.7096774001</v>
      </c>
      <c r="F64" s="424"/>
      <c r="G64" s="425">
        <v>463356.16000000102</v>
      </c>
      <c r="H64" s="427"/>
      <c r="I64" s="424">
        <f t="shared" si="49"/>
        <v>6983679.5496773999</v>
      </c>
      <c r="J64" s="424">
        <v>200000</v>
      </c>
      <c r="K64" s="424">
        <v>0.2</v>
      </c>
      <c r="L64" s="424">
        <f t="shared" si="50"/>
        <v>1396735.90993548</v>
      </c>
      <c r="M64" s="424">
        <f t="shared" si="51"/>
        <v>1596735.90993548</v>
      </c>
      <c r="N64" s="424">
        <f t="shared" si="52"/>
        <v>2060092.0699354799</v>
      </c>
      <c r="O64" s="424">
        <f t="shared" si="53"/>
        <v>5386943.6397419199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524866.47353805997</v>
      </c>
      <c r="V64" s="424">
        <f t="shared" si="60"/>
        <v>1084866.47353806</v>
      </c>
      <c r="W64" s="431">
        <v>12</v>
      </c>
      <c r="X64" s="424">
        <f t="shared" si="61"/>
        <v>90405.539461505003</v>
      </c>
      <c r="Y64" s="427"/>
      <c r="Z64" s="873">
        <f t="shared" si="62"/>
        <v>90405.539461505003</v>
      </c>
      <c r="AA64" s="753">
        <v>66538.068906666696</v>
      </c>
      <c r="AB64" s="753">
        <f t="shared" si="63"/>
        <v>23867.470554838299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182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183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187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189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196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200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202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205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207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210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211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</v>
      </c>
      <c r="M79" s="424">
        <f t="shared" si="83"/>
        <v>1768428.872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689691.71712000004</v>
      </c>
      <c r="V79" s="424">
        <f t="shared" si="92"/>
        <v>1249691.7171199999</v>
      </c>
      <c r="W79" s="431">
        <v>12</v>
      </c>
      <c r="X79" s="424">
        <f t="shared" si="93"/>
        <v>104140.976426667</v>
      </c>
      <c r="Y79" s="427"/>
      <c r="Z79" s="873">
        <f t="shared" si="94"/>
        <v>104140.976426667</v>
      </c>
      <c r="AA79" s="424">
        <v>83767.87</v>
      </c>
      <c r="AB79" s="753">
        <f t="shared" si="95"/>
        <v>20373.106426666702</v>
      </c>
      <c r="AC79" s="436"/>
      <c r="AD79" s="436"/>
      <c r="AE79" s="436"/>
    </row>
    <row r="80" spans="1:31" ht="15.75">
      <c r="A80" s="421">
        <v>72</v>
      </c>
      <c r="B80" s="597" t="s">
        <v>212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1547568.0649999999</v>
      </c>
      <c r="M80" s="424">
        <f t="shared" si="83"/>
        <v>1747568.0649999999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102472.11186666699</v>
      </c>
      <c r="Y80" s="427"/>
      <c r="Z80" s="873">
        <f t="shared" si="94"/>
        <v>102472.11186666699</v>
      </c>
      <c r="AA80" s="424">
        <v>83753.408426666603</v>
      </c>
      <c r="AB80" s="753">
        <f t="shared" si="95"/>
        <v>18718.703440000099</v>
      </c>
      <c r="AC80" s="436"/>
      <c r="AD80" s="436"/>
      <c r="AE80" s="436"/>
    </row>
    <row r="81" spans="1:31" ht="31.5">
      <c r="A81" s="421">
        <v>73</v>
      </c>
      <c r="B81" s="597" t="s">
        <v>213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1216315.7657600001</v>
      </c>
      <c r="W81" s="431">
        <v>12</v>
      </c>
      <c r="X81" s="424">
        <f t="shared" si="93"/>
        <v>101359.647146667</v>
      </c>
      <c r="Y81" s="427"/>
      <c r="Z81" s="873">
        <f t="shared" si="94"/>
        <v>101359.647146667</v>
      </c>
      <c r="AA81" s="424">
        <v>81302.3959466667</v>
      </c>
      <c r="AB81" s="753">
        <f t="shared" si="95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215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216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220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224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226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227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1978497.2720000001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7713989.0880000005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1083357.38112</v>
      </c>
      <c r="V90" s="424">
        <f t="shared" si="108"/>
        <v>1643357.38112</v>
      </c>
      <c r="W90" s="431">
        <v>12</v>
      </c>
      <c r="X90" s="424">
        <f t="shared" si="109"/>
        <v>136946.44842666699</v>
      </c>
      <c r="Y90" s="427"/>
      <c r="Z90" s="873">
        <f t="shared" si="110"/>
        <v>136946.44842666699</v>
      </c>
      <c r="AA90" s="753">
        <v>72764.420906666695</v>
      </c>
      <c r="AB90" s="753">
        <f t="shared" si="111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433130.21753806103</v>
      </c>
      <c r="V92" s="424">
        <f t="shared" si="108"/>
        <v>993130.21753806097</v>
      </c>
      <c r="W92" s="431">
        <v>12</v>
      </c>
      <c r="X92" s="424">
        <f t="shared" si="109"/>
        <v>82760.851461505095</v>
      </c>
      <c r="Y92" s="427"/>
      <c r="Z92" s="873">
        <f t="shared" si="110"/>
        <v>82760.851461505095</v>
      </c>
      <c r="AA92" s="753">
        <v>56938.068906666696</v>
      </c>
      <c r="AB92" s="753">
        <f t="shared" si="111"/>
        <v>25822.782554838399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628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</v>
      </c>
      <c r="J98" s="424">
        <v>200000</v>
      </c>
      <c r="K98" s="424">
        <v>0.2</v>
      </c>
      <c r="L98" s="424">
        <f t="shared" si="114"/>
        <v>1656802.2420000001</v>
      </c>
      <c r="M98" s="424">
        <f t="shared" si="115"/>
        <v>1856802.2420000001</v>
      </c>
      <c r="N98" s="424">
        <f t="shared" si="116"/>
        <v>2477818.7719999999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774530.15231999999</v>
      </c>
      <c r="V98" s="424">
        <f t="shared" si="124"/>
        <v>1334530.1523200001</v>
      </c>
      <c r="W98" s="431">
        <v>12</v>
      </c>
      <c r="X98" s="424">
        <f t="shared" si="125"/>
        <v>111210.846026667</v>
      </c>
      <c r="Y98" s="427"/>
      <c r="Z98" s="873">
        <f t="shared" si="126"/>
        <v>111210.846026667</v>
      </c>
      <c r="AA98" s="753">
        <v>87575.782703466699</v>
      </c>
      <c r="AB98" s="753">
        <f t="shared" si="127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</v>
      </c>
      <c r="J99" s="424">
        <v>200000</v>
      </c>
      <c r="K99" s="424">
        <v>0.2</v>
      </c>
      <c r="L99" s="424">
        <f t="shared" si="114"/>
        <v>1677066.0919999999</v>
      </c>
      <c r="M99" s="424">
        <f t="shared" si="115"/>
        <v>1877066.0919999999</v>
      </c>
      <c r="N99" s="424">
        <f t="shared" si="116"/>
        <v>2396763.372</v>
      </c>
      <c r="O99" s="424">
        <f t="shared" si="117"/>
        <v>6508264.3679999998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793983.44831999997</v>
      </c>
      <c r="V99" s="424">
        <f t="shared" si="124"/>
        <v>1353983.44832</v>
      </c>
      <c r="W99" s="431">
        <v>12</v>
      </c>
      <c r="X99" s="424">
        <f t="shared" si="125"/>
        <v>112831.95402666699</v>
      </c>
      <c r="Y99" s="427"/>
      <c r="Z99" s="873">
        <f t="shared" si="126"/>
        <v>112831.95402666699</v>
      </c>
      <c r="AA99" s="753">
        <v>87392.5495444267</v>
      </c>
      <c r="AB99" s="753">
        <f t="shared" si="127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5594939.5499999998</v>
      </c>
      <c r="F100" s="424"/>
      <c r="G100" s="425">
        <v>316752.40000000101</v>
      </c>
      <c r="H100" s="427"/>
      <c r="I100" s="424">
        <f t="shared" si="113"/>
        <v>5278187.1500000004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</v>
      </c>
      <c r="O100" s="424">
        <f t="shared" si="117"/>
        <v>4022549.72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197411.93280000001</v>
      </c>
      <c r="V100" s="424">
        <f t="shared" si="124"/>
        <v>757411.93279999995</v>
      </c>
      <c r="W100" s="431">
        <v>12</v>
      </c>
      <c r="X100" s="424">
        <f t="shared" si="125"/>
        <v>63117.661066666697</v>
      </c>
      <c r="Y100" s="427"/>
      <c r="Z100" s="873">
        <f t="shared" si="126"/>
        <v>63117.661066666697</v>
      </c>
      <c r="AA100" s="753">
        <v>46740.264902826697</v>
      </c>
      <c r="AB100" s="753">
        <f t="shared" si="127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</v>
      </c>
      <c r="J101" s="424">
        <v>200000</v>
      </c>
      <c r="K101" s="424">
        <v>0.2</v>
      </c>
      <c r="L101" s="424">
        <f t="shared" si="114"/>
        <v>1056766.31</v>
      </c>
      <c r="M101" s="424">
        <f t="shared" si="115"/>
        <v>1256766.31</v>
      </c>
      <c r="N101" s="424">
        <f t="shared" si="116"/>
        <v>1573957.11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198495.65760000001</v>
      </c>
      <c r="V101" s="424">
        <f t="shared" si="124"/>
        <v>758495.65760000004</v>
      </c>
      <c r="W101" s="431">
        <v>12</v>
      </c>
      <c r="X101" s="424">
        <f t="shared" si="125"/>
        <v>63207.971466666699</v>
      </c>
      <c r="Y101" s="427"/>
      <c r="Z101" s="873">
        <f t="shared" si="126"/>
        <v>63207.971466666699</v>
      </c>
      <c r="AA101" s="753">
        <v>87883.38</v>
      </c>
      <c r="AB101" s="753">
        <f t="shared" si="127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5018259.4400000004</v>
      </c>
      <c r="J102" s="424">
        <v>200000</v>
      </c>
      <c r="K102" s="424">
        <v>0.2</v>
      </c>
      <c r="L102" s="424">
        <f t="shared" si="114"/>
        <v>1003651.888</v>
      </c>
      <c r="M102" s="424">
        <f t="shared" si="115"/>
        <v>1203651.888</v>
      </c>
      <c r="N102" s="424">
        <f t="shared" si="116"/>
        <v>1500215.7279999999</v>
      </c>
      <c r="O102" s="424">
        <f t="shared" si="117"/>
        <v>3814607.5520000001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147505.81247999999</v>
      </c>
      <c r="V102" s="424">
        <f t="shared" si="124"/>
        <v>707505.81247999996</v>
      </c>
      <c r="W102" s="431">
        <v>12</v>
      </c>
      <c r="X102" s="424">
        <f t="shared" si="125"/>
        <v>58958.817706666698</v>
      </c>
      <c r="Y102" s="427"/>
      <c r="Z102" s="873">
        <f t="shared" si="126"/>
        <v>58958.817706666698</v>
      </c>
      <c r="AA102" s="753">
        <v>43740.256541426701</v>
      </c>
      <c r="AB102" s="753">
        <f t="shared" si="127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484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192</v>
      </c>
      <c r="C107" s="430">
        <v>981346.58333333395</v>
      </c>
      <c r="D107" s="423">
        <v>12</v>
      </c>
      <c r="E107" s="424">
        <f t="shared" si="129"/>
        <v>11776159</v>
      </c>
      <c r="F107" s="424">
        <v>90896.225000000093</v>
      </c>
      <c r="G107" s="425">
        <v>463532.72</v>
      </c>
      <c r="H107" s="427"/>
      <c r="I107" s="424">
        <f t="shared" si="130"/>
        <v>11221730.055</v>
      </c>
      <c r="J107" s="424">
        <v>200000</v>
      </c>
      <c r="K107" s="424">
        <v>0.2</v>
      </c>
      <c r="L107" s="424">
        <f t="shared" si="131"/>
        <v>2244346.0109999999</v>
      </c>
      <c r="M107" s="424">
        <f t="shared" si="132"/>
        <v>2444346.0109999999</v>
      </c>
      <c r="N107" s="424">
        <f t="shared" si="133"/>
        <v>2998774.9559999998</v>
      </c>
      <c r="O107" s="424">
        <f t="shared" si="134"/>
        <v>8777384.0440000091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</v>
      </c>
      <c r="V107" s="424">
        <f t="shared" si="141"/>
        <v>1898572.17056</v>
      </c>
      <c r="W107" s="431">
        <v>12</v>
      </c>
      <c r="X107" s="424">
        <f t="shared" si="142"/>
        <v>158214.34754666701</v>
      </c>
      <c r="Y107" s="427"/>
      <c r="Z107" s="873">
        <f t="shared" si="143"/>
        <v>158214.34754666701</v>
      </c>
      <c r="AA107" s="753">
        <v>59711.115255466699</v>
      </c>
      <c r="AB107" s="753">
        <f t="shared" si="144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679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273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</v>
      </c>
      <c r="F117" s="424">
        <v>157015.95000000001</v>
      </c>
      <c r="G117" s="425">
        <v>818602.63999999897</v>
      </c>
      <c r="H117" s="427"/>
      <c r="I117" s="424">
        <f t="shared" si="146"/>
        <v>12212488.41</v>
      </c>
      <c r="J117" s="424">
        <v>200000</v>
      </c>
      <c r="K117" s="424">
        <v>0.2</v>
      </c>
      <c r="L117" s="424">
        <f t="shared" si="147"/>
        <v>2442497.6820000098</v>
      </c>
      <c r="M117" s="424">
        <f t="shared" si="148"/>
        <v>2642497.6820000098</v>
      </c>
      <c r="N117" s="424">
        <f t="shared" si="149"/>
        <v>3618116.2720000101</v>
      </c>
      <c r="O117" s="424">
        <f t="shared" si="150"/>
        <v>9569990.7280000299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1528797.7747200101</v>
      </c>
      <c r="V117" s="424">
        <f t="shared" si="156"/>
        <v>2088797.7747200101</v>
      </c>
      <c r="W117" s="431">
        <v>12</v>
      </c>
      <c r="X117" s="424">
        <f t="shared" si="157"/>
        <v>174066.48122666701</v>
      </c>
      <c r="Y117" s="427"/>
      <c r="Z117" s="873">
        <f t="shared" si="158"/>
        <v>174066.48122666701</v>
      </c>
      <c r="AA117" s="753">
        <v>145172.65</v>
      </c>
      <c r="AB117" s="753">
        <f t="shared" si="159"/>
        <v>28893.831226667298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780713.91666666605</v>
      </c>
      <c r="D118" s="423">
        <v>12</v>
      </c>
      <c r="E118" s="424">
        <f t="shared" si="145"/>
        <v>9368566.9999999907</v>
      </c>
      <c r="F118" s="424"/>
      <c r="G118" s="425">
        <v>566070.72</v>
      </c>
      <c r="H118" s="427"/>
      <c r="I118" s="424">
        <f t="shared" si="146"/>
        <v>8802496.27999999</v>
      </c>
      <c r="J118" s="424">
        <v>200000</v>
      </c>
      <c r="K118" s="424">
        <v>0.2</v>
      </c>
      <c r="L118" s="424">
        <f t="shared" si="147"/>
        <v>1760499.2560000001</v>
      </c>
      <c r="M118" s="424">
        <f t="shared" si="148"/>
        <v>1960499.2560000001</v>
      </c>
      <c r="N118" s="424">
        <f t="shared" si="149"/>
        <v>2526569.9759999998</v>
      </c>
      <c r="O118" s="424">
        <f t="shared" si="150"/>
        <v>6841997.02399999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874079.28575999895</v>
      </c>
      <c r="V118" s="424">
        <f t="shared" si="156"/>
        <v>1434079.2857600001</v>
      </c>
      <c r="W118" s="431">
        <v>12</v>
      </c>
      <c r="X118" s="424">
        <f t="shared" si="157"/>
        <v>119506.607146667</v>
      </c>
      <c r="Y118" s="427"/>
      <c r="Z118" s="873">
        <f t="shared" si="158"/>
        <v>119506.607146667</v>
      </c>
      <c r="AA118" s="753">
        <v>75215.4333866667</v>
      </c>
      <c r="AB118" s="753">
        <f t="shared" si="159"/>
        <v>44291.173759999903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432145.33333333302</v>
      </c>
      <c r="D121" s="423">
        <v>12</v>
      </c>
      <c r="E121" s="424">
        <f t="shared" si="145"/>
        <v>5185744</v>
      </c>
      <c r="F121" s="430"/>
      <c r="G121" s="425">
        <v>341107.84000000102</v>
      </c>
      <c r="H121" s="427"/>
      <c r="I121" s="424">
        <f t="shared" si="146"/>
        <v>4844636.1600000001</v>
      </c>
      <c r="J121" s="424">
        <v>200000</v>
      </c>
      <c r="K121" s="424">
        <v>0.2</v>
      </c>
      <c r="L121" s="424">
        <f t="shared" si="147"/>
        <v>968927.23199999903</v>
      </c>
      <c r="M121" s="424">
        <f t="shared" si="148"/>
        <v>1168927.2320000001</v>
      </c>
      <c r="N121" s="424">
        <f t="shared" si="149"/>
        <v>1510035.0719999999</v>
      </c>
      <c r="O121" s="424">
        <f t="shared" si="150"/>
        <v>3675708.9279999998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114170.142719999</v>
      </c>
      <c r="V121" s="424">
        <f t="shared" si="156"/>
        <v>674170.14271999896</v>
      </c>
      <c r="W121" s="431">
        <v>12</v>
      </c>
      <c r="X121" s="424">
        <f t="shared" si="157"/>
        <v>56180.845226666599</v>
      </c>
      <c r="Y121" s="427"/>
      <c r="Z121" s="873">
        <f t="shared" si="158"/>
        <v>56180.845226666599</v>
      </c>
      <c r="AA121" s="753">
        <v>39052.313066666698</v>
      </c>
      <c r="AB121" s="753">
        <f t="shared" si="159"/>
        <v>17128.532159999901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120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6395506.0335483802</v>
      </c>
      <c r="J135" s="424">
        <v>200000</v>
      </c>
      <c r="K135" s="424">
        <v>0.2</v>
      </c>
      <c r="L135" s="424">
        <f t="shared" si="163"/>
        <v>1279101.2067096799</v>
      </c>
      <c r="M135" s="424">
        <f t="shared" si="164"/>
        <v>1479101.2067096799</v>
      </c>
      <c r="N135" s="424">
        <f t="shared" si="165"/>
        <v>1942457.3667096801</v>
      </c>
      <c r="O135" s="424">
        <f t="shared" si="166"/>
        <v>4916404.8268387001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411937.15844128898</v>
      </c>
      <c r="V135" s="424">
        <f t="shared" si="173"/>
        <v>971937.15844128898</v>
      </c>
      <c r="W135" s="431">
        <v>12</v>
      </c>
      <c r="X135" s="424">
        <f t="shared" si="174"/>
        <v>80994.7632034407</v>
      </c>
      <c r="Y135" s="427"/>
      <c r="Z135" s="873">
        <f t="shared" si="175"/>
        <v>80994.7632034407</v>
      </c>
      <c r="AA135" s="753">
        <v>56938.068906666696</v>
      </c>
      <c r="AB135" s="753">
        <f t="shared" si="176"/>
        <v>24056.694296774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5014865.6493333196</v>
      </c>
      <c r="F142" s="424"/>
      <c r="G142" s="425">
        <v>333135.52</v>
      </c>
      <c r="H142" s="427"/>
      <c r="I142" s="424">
        <f t="shared" si="162"/>
        <v>4681730.1293333201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1136346.0258666601</v>
      </c>
      <c r="N142" s="424">
        <f t="shared" si="165"/>
        <v>1469481.5458666601</v>
      </c>
      <c r="O142" s="424">
        <f t="shared" si="166"/>
        <v>3545384.1034666598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82892.184831998195</v>
      </c>
      <c r="V142" s="424">
        <f t="shared" si="173"/>
        <v>642892.18483199796</v>
      </c>
      <c r="W142" s="431">
        <v>12</v>
      </c>
      <c r="X142" s="424">
        <f t="shared" si="174"/>
        <v>53574.348735999803</v>
      </c>
      <c r="Y142" s="427"/>
      <c r="Z142" s="873">
        <f t="shared" si="175"/>
        <v>53574.348735999803</v>
      </c>
      <c r="AA142" s="753">
        <v>37921.500586666698</v>
      </c>
      <c r="AB142" s="753">
        <f t="shared" si="176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7526909.9999999898</v>
      </c>
      <c r="F143" s="424"/>
      <c r="G143" s="425">
        <v>438302.16</v>
      </c>
      <c r="H143" s="427"/>
      <c r="I143" s="424">
        <f t="shared" si="162"/>
        <v>7088607.8399999896</v>
      </c>
      <c r="J143" s="424">
        <v>200000</v>
      </c>
      <c r="K143" s="424">
        <v>0.2</v>
      </c>
      <c r="L143" s="424">
        <f t="shared" si="163"/>
        <v>1417721.568</v>
      </c>
      <c r="M143" s="424">
        <f t="shared" si="164"/>
        <v>1617721.568</v>
      </c>
      <c r="N143" s="424">
        <f t="shared" si="165"/>
        <v>2056023.7279999999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545012.70527999802</v>
      </c>
      <c r="V143" s="424">
        <f t="shared" si="173"/>
        <v>1105012.7052800001</v>
      </c>
      <c r="W143" s="431">
        <v>12</v>
      </c>
      <c r="X143" s="424">
        <f t="shared" si="174"/>
        <v>92084.392106666506</v>
      </c>
      <c r="Y143" s="427"/>
      <c r="Z143" s="873">
        <f t="shared" si="175"/>
        <v>92084.392106666506</v>
      </c>
      <c r="AA143" s="753">
        <v>44990.482506666704</v>
      </c>
      <c r="AB143" s="753">
        <f t="shared" si="176"/>
        <v>47093.909599999803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1087459.7223225799</v>
      </c>
      <c r="M144" s="424">
        <f t="shared" si="164"/>
        <v>1287459.7223225799</v>
      </c>
      <c r="N144" s="424">
        <f t="shared" si="165"/>
        <v>1628567.56232258</v>
      </c>
      <c r="O144" s="424">
        <f t="shared" si="166"/>
        <v>4149838.8892903002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227961.33342967299</v>
      </c>
      <c r="V144" s="424">
        <f t="shared" si="173"/>
        <v>787961.33342967299</v>
      </c>
      <c r="W144" s="431">
        <v>12</v>
      </c>
      <c r="X144" s="424">
        <f t="shared" si="174"/>
        <v>65663.444452472701</v>
      </c>
      <c r="Y144" s="427"/>
      <c r="Z144" s="873">
        <f t="shared" si="175"/>
        <v>65663.444452472701</v>
      </c>
      <c r="AA144" s="753">
        <v>39052.313066666698</v>
      </c>
      <c r="AB144" s="753">
        <f t="shared" si="176"/>
        <v>26611.131385805998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615675.12903225794</v>
      </c>
      <c r="D145" s="423">
        <v>12</v>
      </c>
      <c r="E145" s="424">
        <f t="shared" si="161"/>
        <v>7388101.5483871</v>
      </c>
      <c r="F145" s="424">
        <v>92670.45</v>
      </c>
      <c r="G145" s="425">
        <v>438302.16</v>
      </c>
      <c r="H145" s="427"/>
      <c r="I145" s="424">
        <f t="shared" si="162"/>
        <v>6857128.9383870997</v>
      </c>
      <c r="J145" s="424">
        <v>200000</v>
      </c>
      <c r="K145" s="424">
        <v>0.2</v>
      </c>
      <c r="L145" s="424">
        <f t="shared" si="163"/>
        <v>1371425.7876774201</v>
      </c>
      <c r="M145" s="424">
        <f t="shared" si="164"/>
        <v>1571425.7876774201</v>
      </c>
      <c r="N145" s="424">
        <f t="shared" si="165"/>
        <v>2102398.3976774202</v>
      </c>
      <c r="O145" s="424">
        <f t="shared" si="166"/>
        <v>5285703.1507096803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500568.756170323</v>
      </c>
      <c r="V145" s="424">
        <f t="shared" si="173"/>
        <v>1060568.7561703201</v>
      </c>
      <c r="W145" s="431">
        <v>12</v>
      </c>
      <c r="X145" s="424">
        <f t="shared" si="174"/>
        <v>88380.729680860197</v>
      </c>
      <c r="Y145" s="427"/>
      <c r="Z145" s="873">
        <f t="shared" si="175"/>
        <v>88380.729680860197</v>
      </c>
      <c r="AA145" s="753">
        <v>44913.699618666702</v>
      </c>
      <c r="AB145" s="753">
        <f t="shared" si="176"/>
        <v>43467.030062193502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5196325.9664516002</v>
      </c>
      <c r="J146" s="424">
        <v>200000</v>
      </c>
      <c r="K146" s="424">
        <v>0.2</v>
      </c>
      <c r="L146" s="424">
        <f t="shared" si="163"/>
        <v>1039265.19329032</v>
      </c>
      <c r="M146" s="424">
        <f t="shared" si="164"/>
        <v>1239265.19329032</v>
      </c>
      <c r="N146" s="424">
        <f t="shared" si="165"/>
        <v>1580373.0332903201</v>
      </c>
      <c r="O146" s="424">
        <f t="shared" si="166"/>
        <v>3957060.77316128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181694.58555870701</v>
      </c>
      <c r="V146" s="424">
        <f t="shared" si="173"/>
        <v>741694.58555870701</v>
      </c>
      <c r="W146" s="431">
        <v>12</v>
      </c>
      <c r="X146" s="424">
        <f t="shared" si="174"/>
        <v>61807.882129892198</v>
      </c>
      <c r="Y146" s="427"/>
      <c r="Z146" s="873">
        <f t="shared" si="175"/>
        <v>61807.882129892198</v>
      </c>
      <c r="AA146" s="753">
        <v>39052.313066666698</v>
      </c>
      <c r="AB146" s="753">
        <f t="shared" si="176"/>
        <v>22755.569063225499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4327775.0493333396</v>
      </c>
      <c r="F154" s="424"/>
      <c r="G154" s="425">
        <v>283104.8</v>
      </c>
      <c r="H154" s="427"/>
      <c r="I154" s="424">
        <f t="shared" si="162"/>
        <v>4044670.2493333402</v>
      </c>
      <c r="J154" s="424">
        <v>200000</v>
      </c>
      <c r="K154" s="424">
        <v>0.2</v>
      </c>
      <c r="L154" s="424">
        <f t="shared" si="163"/>
        <v>808934.04986666702</v>
      </c>
      <c r="M154" s="424">
        <f t="shared" si="164"/>
        <v>1008934.04986667</v>
      </c>
      <c r="N154" s="424">
        <f t="shared" si="165"/>
        <v>1292038.8498666701</v>
      </c>
      <c r="O154" s="424">
        <f t="shared" si="166"/>
        <v>3035736.1994666699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301504.60188799998</v>
      </c>
      <c r="U154" s="424"/>
      <c r="V154" s="424">
        <f t="shared" si="173"/>
        <v>525504.60188800003</v>
      </c>
      <c r="W154" s="431">
        <v>12</v>
      </c>
      <c r="X154" s="424">
        <f t="shared" si="174"/>
        <v>43792.050157333397</v>
      </c>
      <c r="Y154" s="427"/>
      <c r="Z154" s="873">
        <f t="shared" si="175"/>
        <v>43792.050157333397</v>
      </c>
      <c r="AA154" s="753">
        <v>29305.1955466666</v>
      </c>
      <c r="AB154" s="753">
        <f t="shared" si="176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361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364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642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365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366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367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369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370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371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372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359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373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375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376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378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380</v>
      </c>
      <c r="C171" s="424">
        <v>240784</v>
      </c>
      <c r="D171" s="423">
        <v>12</v>
      </c>
      <c r="E171" s="424">
        <f t="shared" si="161"/>
        <v>2889408</v>
      </c>
      <c r="F171" s="424"/>
      <c r="G171" s="425">
        <v>205232.64000000001</v>
      </c>
      <c r="H171" s="427"/>
      <c r="I171" s="424">
        <f t="shared" si="162"/>
        <v>2684175.3599999999</v>
      </c>
      <c r="J171" s="424">
        <v>200000</v>
      </c>
      <c r="K171" s="424">
        <v>0.2</v>
      </c>
      <c r="L171" s="424">
        <f t="shared" si="163"/>
        <v>536835.07200000004</v>
      </c>
      <c r="M171" s="424">
        <f t="shared" si="164"/>
        <v>736835.07200000004</v>
      </c>
      <c r="N171" s="424">
        <f t="shared" si="165"/>
        <v>942067.71200000006</v>
      </c>
      <c r="O171" s="424">
        <f t="shared" si="166"/>
        <v>1947340.2879999999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si="171"/>
        <v>72941.460479999994</v>
      </c>
      <c r="U171" s="424"/>
      <c r="V171" s="424">
        <f t="shared" si="173"/>
        <v>296941.46048000001</v>
      </c>
      <c r="W171" s="431">
        <v>12</v>
      </c>
      <c r="X171" s="424">
        <f t="shared" si="174"/>
        <v>24745.121706666701</v>
      </c>
      <c r="Y171" s="427"/>
      <c r="Z171" s="873">
        <f t="shared" si="175"/>
        <v>24745.121706666701</v>
      </c>
      <c r="AA171" s="753">
        <v>7852.4192000000003</v>
      </c>
      <c r="AB171" s="753">
        <f t="shared" si="176"/>
        <v>16892.702506666701</v>
      </c>
      <c r="AC171" s="436"/>
      <c r="AD171" s="436"/>
      <c r="AE171" s="436"/>
    </row>
    <row r="172" spans="1:31" ht="15.75">
      <c r="A172" s="421">
        <v>156</v>
      </c>
      <c r="B172" s="597" t="s">
        <v>381</v>
      </c>
      <c r="C172" s="424">
        <v>363463.72580645198</v>
      </c>
      <c r="D172" s="423">
        <v>12</v>
      </c>
      <c r="E172" s="424">
        <f t="shared" si="161"/>
        <v>4361564.7096774196</v>
      </c>
      <c r="F172" s="424"/>
      <c r="G172" s="425">
        <v>205232.64000000001</v>
      </c>
      <c r="H172" s="427"/>
      <c r="I172" s="424">
        <f t="shared" si="162"/>
        <v>4156332.06967742</v>
      </c>
      <c r="J172" s="424">
        <v>200000</v>
      </c>
      <c r="K172" s="424">
        <v>0.2</v>
      </c>
      <c r="L172" s="424">
        <f t="shared" si="163"/>
        <v>831266.41393548495</v>
      </c>
      <c r="M172" s="424">
        <f t="shared" si="164"/>
        <v>1031266.4139354801</v>
      </c>
      <c r="N172" s="424">
        <f t="shared" si="165"/>
        <v>1236499.0539354801</v>
      </c>
      <c r="O172" s="424">
        <f t="shared" si="166"/>
        <v>3125065.6557419398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1"/>
        <v>320263.78770580702</v>
      </c>
      <c r="U172" s="424"/>
      <c r="V172" s="424">
        <f t="shared" si="173"/>
        <v>544263.78770580702</v>
      </c>
      <c r="W172" s="431">
        <v>12</v>
      </c>
      <c r="X172" s="424">
        <f t="shared" si="174"/>
        <v>45355.315642150599</v>
      </c>
      <c r="Y172" s="427"/>
      <c r="Z172" s="873">
        <f t="shared" si="175"/>
        <v>45355.315642150599</v>
      </c>
      <c r="AA172" s="753">
        <v>7492.4192000000003</v>
      </c>
      <c r="AB172" s="753">
        <f t="shared" si="176"/>
        <v>37862.896442150603</v>
      </c>
      <c r="AC172" s="436"/>
      <c r="AD172" s="436"/>
      <c r="AE172" s="436"/>
    </row>
    <row r="173" spans="1:31" ht="15.75">
      <c r="A173" s="421">
        <v>157</v>
      </c>
      <c r="B173" s="597" t="s">
        <v>382</v>
      </c>
      <c r="C173" s="424">
        <v>363463.72580645198</v>
      </c>
      <c r="D173" s="423">
        <v>12</v>
      </c>
      <c r="E173" s="424">
        <f t="shared" si="161"/>
        <v>4361564.7096774196</v>
      </c>
      <c r="F173" s="424"/>
      <c r="G173" s="425">
        <v>205232.64000000001</v>
      </c>
      <c r="H173" s="427"/>
      <c r="I173" s="424">
        <f t="shared" si="162"/>
        <v>4156332.06967742</v>
      </c>
      <c r="J173" s="424">
        <v>200000</v>
      </c>
      <c r="K173" s="424">
        <v>0.2</v>
      </c>
      <c r="L173" s="424">
        <f t="shared" si="163"/>
        <v>831266.41393548495</v>
      </c>
      <c r="M173" s="424">
        <f t="shared" si="164"/>
        <v>1031266.4139354801</v>
      </c>
      <c r="N173" s="424">
        <f t="shared" si="165"/>
        <v>1236499.0539354801</v>
      </c>
      <c r="O173" s="424">
        <f t="shared" si="166"/>
        <v>3125065.6557419398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1"/>
        <v>320263.78770580702</v>
      </c>
      <c r="U173" s="424"/>
      <c r="V173" s="424">
        <f t="shared" si="173"/>
        <v>544263.78770580702</v>
      </c>
      <c r="W173" s="431">
        <v>12</v>
      </c>
      <c r="X173" s="424">
        <f t="shared" si="174"/>
        <v>45355.315642150599</v>
      </c>
      <c r="Y173" s="427"/>
      <c r="Z173" s="873">
        <f t="shared" si="175"/>
        <v>45355.315642150599</v>
      </c>
      <c r="AA173" s="753">
        <v>7852.4192000000003</v>
      </c>
      <c r="AB173" s="753">
        <f t="shared" si="176"/>
        <v>37502.896442150603</v>
      </c>
      <c r="AC173" s="436"/>
      <c r="AD173" s="436"/>
      <c r="AE173" s="436"/>
    </row>
    <row r="174" spans="1:31" ht="15.75">
      <c r="A174" s="421">
        <v>158</v>
      </c>
      <c r="B174" s="597" t="s">
        <v>383</v>
      </c>
      <c r="C174" s="882">
        <v>363463.72580645198</v>
      </c>
      <c r="D174" s="423">
        <v>12</v>
      </c>
      <c r="E174" s="424">
        <f t="shared" si="161"/>
        <v>4361564.7096774196</v>
      </c>
      <c r="F174" s="424"/>
      <c r="G174" s="425">
        <v>205232.64000000001</v>
      </c>
      <c r="H174" s="427"/>
      <c r="I174" s="424">
        <f t="shared" si="162"/>
        <v>4156332.06967742</v>
      </c>
      <c r="J174" s="424">
        <v>200000</v>
      </c>
      <c r="K174" s="424">
        <v>0.2</v>
      </c>
      <c r="L174" s="424">
        <f t="shared" si="163"/>
        <v>831266.41393548495</v>
      </c>
      <c r="M174" s="424">
        <f t="shared" si="164"/>
        <v>1031266.4139354801</v>
      </c>
      <c r="N174" s="424">
        <f t="shared" si="165"/>
        <v>1236499.0539354801</v>
      </c>
      <c r="O174" s="424">
        <f t="shared" si="166"/>
        <v>3125065.6557419398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1"/>
        <v>320263.78770580702</v>
      </c>
      <c r="U174" s="424"/>
      <c r="V174" s="424">
        <f t="shared" si="173"/>
        <v>544263.78770580702</v>
      </c>
      <c r="W174" s="431">
        <v>12</v>
      </c>
      <c r="X174" s="424">
        <f t="shared" si="174"/>
        <v>45355.315642150599</v>
      </c>
      <c r="Y174" s="427"/>
      <c r="Z174" s="873">
        <f t="shared" si="175"/>
        <v>45355.315642150599</v>
      </c>
      <c r="AA174" s="753">
        <v>7492.4192000000003</v>
      </c>
      <c r="AB174" s="753">
        <f t="shared" si="176"/>
        <v>37862.896442150603</v>
      </c>
      <c r="AC174" s="436"/>
      <c r="AD174" s="436"/>
      <c r="AE174" s="436"/>
    </row>
    <row r="175" spans="1:31" ht="15.75">
      <c r="A175" s="421">
        <v>159</v>
      </c>
      <c r="B175" s="597" t="s">
        <v>384</v>
      </c>
      <c r="C175" s="882">
        <v>363463.72580645198</v>
      </c>
      <c r="D175" s="423">
        <v>12</v>
      </c>
      <c r="E175" s="424">
        <f t="shared" si="161"/>
        <v>4361564.7096774196</v>
      </c>
      <c r="F175" s="424"/>
      <c r="G175" s="425">
        <v>205232.64000000001</v>
      </c>
      <c r="H175" s="427"/>
      <c r="I175" s="424">
        <f t="shared" si="162"/>
        <v>4156332.06967742</v>
      </c>
      <c r="J175" s="424">
        <v>200000</v>
      </c>
      <c r="K175" s="424">
        <v>0.2</v>
      </c>
      <c r="L175" s="424">
        <f t="shared" si="163"/>
        <v>831266.41393548495</v>
      </c>
      <c r="M175" s="424">
        <f t="shared" si="164"/>
        <v>1031266.4139354801</v>
      </c>
      <c r="N175" s="424">
        <f t="shared" si="165"/>
        <v>1236499.0539354801</v>
      </c>
      <c r="O175" s="424">
        <f t="shared" si="166"/>
        <v>3125065.6557419398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1"/>
        <v>320263.78770580702</v>
      </c>
      <c r="U175" s="424"/>
      <c r="V175" s="424">
        <f t="shared" si="173"/>
        <v>544263.78770580702</v>
      </c>
      <c r="W175" s="431">
        <v>12</v>
      </c>
      <c r="X175" s="424">
        <f t="shared" si="174"/>
        <v>45355.315642150599</v>
      </c>
      <c r="Y175" s="427"/>
      <c r="Z175" s="873">
        <f t="shared" si="175"/>
        <v>45355.315642150599</v>
      </c>
      <c r="AA175" s="753">
        <v>7852.4192000000003</v>
      </c>
      <c r="AB175" s="753">
        <f t="shared" si="176"/>
        <v>37502.896442150603</v>
      </c>
    </row>
    <row r="176" spans="1:31" ht="15.75">
      <c r="A176" s="421">
        <v>160</v>
      </c>
      <c r="B176" s="313" t="s">
        <v>385</v>
      </c>
      <c r="C176" s="753">
        <v>954446.8</v>
      </c>
      <c r="D176" s="423">
        <v>12</v>
      </c>
      <c r="E176" s="424">
        <f t="shared" si="161"/>
        <v>11453361.6</v>
      </c>
      <c r="F176" s="574"/>
      <c r="G176" s="425">
        <v>205232.64000000001</v>
      </c>
      <c r="I176" s="424">
        <f t="shared" si="162"/>
        <v>11248128.960000001</v>
      </c>
      <c r="J176" s="424">
        <v>200000</v>
      </c>
      <c r="K176" s="424">
        <v>0.2</v>
      </c>
      <c r="L176" s="424">
        <f t="shared" si="163"/>
        <v>2249625.7919999999</v>
      </c>
      <c r="M176" s="424">
        <f t="shared" si="164"/>
        <v>2449625.7919999999</v>
      </c>
      <c r="N176" s="424">
        <f t="shared" si="165"/>
        <v>2654858.432</v>
      </c>
      <c r="O176" s="424">
        <f t="shared" si="166"/>
        <v>8798503.1679999996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1"/>
        <v>336000</v>
      </c>
      <c r="U176" s="424">
        <f>0.24*(O176-3200000)</f>
        <v>1343640.7603199999</v>
      </c>
      <c r="V176" s="424">
        <f t="shared" si="173"/>
        <v>1903640.7603199999</v>
      </c>
      <c r="W176" s="431">
        <v>12</v>
      </c>
      <c r="X176" s="424">
        <f t="shared" si="174"/>
        <v>158636.73002666701</v>
      </c>
      <c r="Z176" s="873">
        <f t="shared" si="175"/>
        <v>158636.73002666701</v>
      </c>
      <c r="AA176" s="753">
        <v>7492.4192000000003</v>
      </c>
      <c r="AB176" s="753">
        <f t="shared" si="176"/>
        <v>151144.310826667</v>
      </c>
    </row>
    <row r="177" spans="1:28" ht="15.75">
      <c r="A177" s="421">
        <v>161</v>
      </c>
      <c r="B177" s="313" t="s">
        <v>387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205232.64000000001</v>
      </c>
      <c r="I177" s="424">
        <f t="shared" si="162"/>
        <v>1875048.36</v>
      </c>
      <c r="J177" s="424">
        <v>200000</v>
      </c>
      <c r="K177" s="424">
        <v>0.2</v>
      </c>
      <c r="L177" s="424">
        <f t="shared" si="163"/>
        <v>375009.67200000002</v>
      </c>
      <c r="M177" s="424">
        <f t="shared" si="164"/>
        <v>575009.67200000002</v>
      </c>
      <c r="N177" s="424">
        <f t="shared" si="165"/>
        <v>780242.31200000003</v>
      </c>
      <c r="O177" s="424">
        <f t="shared" si="166"/>
        <v>1300038.6880000001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38007.350720000002</v>
      </c>
      <c r="T177" s="424">
        <f t="shared" si="171"/>
        <v>0</v>
      </c>
      <c r="U177" s="424"/>
      <c r="V177" s="424">
        <f t="shared" si="173"/>
        <v>167007.35071999999</v>
      </c>
      <c r="W177" s="431">
        <v>12</v>
      </c>
      <c r="X177" s="424">
        <f t="shared" si="174"/>
        <v>13917.2792266667</v>
      </c>
      <c r="Z177" s="873">
        <f t="shared" si="175"/>
        <v>13917.2792266667</v>
      </c>
      <c r="AA177" s="753">
        <v>7852.4192000000003</v>
      </c>
      <c r="AB177" s="753">
        <f t="shared" si="176"/>
        <v>6064.8600266666699</v>
      </c>
    </row>
    <row r="178" spans="1:28" ht="15.75">
      <c r="A178" s="421">
        <v>162</v>
      </c>
      <c r="B178" s="597" t="s">
        <v>644</v>
      </c>
      <c r="C178" s="753"/>
      <c r="D178" s="423"/>
      <c r="E178" s="424"/>
      <c r="F178" s="574"/>
      <c r="G178" s="425">
        <v>205232.64000000001</v>
      </c>
      <c r="I178" s="424"/>
      <c r="J178" s="424"/>
      <c r="K178" s="424"/>
      <c r="L178" s="424"/>
      <c r="M178" s="424"/>
      <c r="N178" s="424">
        <f t="shared" si="165"/>
        <v>205232.64000000001</v>
      </c>
      <c r="O178" s="424">
        <f t="shared" si="166"/>
        <v>-205232.64000000001</v>
      </c>
      <c r="P178" s="424">
        <f t="shared" si="167"/>
        <v>-14366.284799999999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-14366.284799999999</v>
      </c>
      <c r="W178" s="431">
        <v>12</v>
      </c>
      <c r="X178" s="424">
        <f t="shared" si="174"/>
        <v>-1197.1904</v>
      </c>
      <c r="Z178" s="873">
        <f t="shared" si="175"/>
        <v>-1197.1904</v>
      </c>
      <c r="AA178" s="753"/>
      <c r="AB178" s="753"/>
    </row>
    <row r="179" spans="1:28" ht="15.75">
      <c r="A179" s="421">
        <v>163</v>
      </c>
      <c r="B179" s="597" t="s">
        <v>388</v>
      </c>
      <c r="C179" s="753">
        <v>173356.75</v>
      </c>
      <c r="D179" s="423">
        <v>12</v>
      </c>
      <c r="E179" s="424">
        <f t="shared" ref="E179:E187" si="177">C179*D179</f>
        <v>2080281</v>
      </c>
      <c r="F179" s="574"/>
      <c r="G179" s="425">
        <v>205232.64000000001</v>
      </c>
      <c r="I179" s="424">
        <f t="shared" ref="I179:I187" si="178">E179-F179-G179-H179</f>
        <v>1875048.36</v>
      </c>
      <c r="J179" s="424">
        <v>200000</v>
      </c>
      <c r="K179" s="424">
        <v>0.2</v>
      </c>
      <c r="L179" s="424">
        <f t="shared" ref="L179:L187" si="179">I179*K179</f>
        <v>375009.67200000002</v>
      </c>
      <c r="M179" s="424">
        <f t="shared" ref="M179:M187" si="180">J179+L179</f>
        <v>575009.67200000002</v>
      </c>
      <c r="N179" s="424">
        <f t="shared" si="165"/>
        <v>780242.31200000003</v>
      </c>
      <c r="O179" s="424">
        <f t="shared" si="166"/>
        <v>1300038.6880000001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38007.350720000002</v>
      </c>
      <c r="T179" s="424">
        <f t="shared" si="171"/>
        <v>0</v>
      </c>
      <c r="V179" s="424">
        <f t="shared" si="173"/>
        <v>167007.35071999999</v>
      </c>
      <c r="W179" s="431">
        <v>12</v>
      </c>
      <c r="X179" s="424">
        <f t="shared" si="174"/>
        <v>13917.2792266667</v>
      </c>
      <c r="Z179" s="873">
        <f t="shared" si="175"/>
        <v>13917.2792266667</v>
      </c>
      <c r="AA179" s="753">
        <v>7852.4192000000003</v>
      </c>
      <c r="AB179" s="753">
        <f t="shared" ref="AB179:AB187" si="181">Z179-AA179</f>
        <v>6064.8600266666699</v>
      </c>
    </row>
    <row r="180" spans="1:28" ht="15.75">
      <c r="A180" s="421">
        <v>164</v>
      </c>
      <c r="B180" s="313" t="s">
        <v>360</v>
      </c>
      <c r="C180" s="753">
        <v>170495.66666666701</v>
      </c>
      <c r="D180" s="423">
        <v>12</v>
      </c>
      <c r="E180" s="424">
        <f t="shared" si="177"/>
        <v>2045948</v>
      </c>
      <c r="F180" s="574"/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1:28" ht="15.75">
      <c r="A181" s="421">
        <v>165</v>
      </c>
      <c r="B181" s="313" t="s">
        <v>391</v>
      </c>
      <c r="C181" s="753">
        <v>164773.5</v>
      </c>
      <c r="D181" s="423">
        <v>12</v>
      </c>
      <c r="E181" s="424">
        <f t="shared" si="177"/>
        <v>1977282</v>
      </c>
      <c r="F181" s="574"/>
      <c r="G181" s="425">
        <v>132262.56</v>
      </c>
      <c r="I181" s="424">
        <f t="shared" si="178"/>
        <v>1845019.44</v>
      </c>
      <c r="J181" s="424">
        <v>200000</v>
      </c>
      <c r="K181" s="424">
        <v>0.2</v>
      </c>
      <c r="L181" s="424">
        <f t="shared" si="179"/>
        <v>369003.88799999998</v>
      </c>
      <c r="M181" s="424">
        <f t="shared" si="180"/>
        <v>569003.88800000004</v>
      </c>
      <c r="N181" s="424">
        <f t="shared" si="165"/>
        <v>701266.44799999997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33442.954879999998</v>
      </c>
      <c r="T181" s="424">
        <f t="shared" si="171"/>
        <v>0</v>
      </c>
      <c r="V181" s="424">
        <f t="shared" si="173"/>
        <v>162442.95488</v>
      </c>
      <c r="W181" s="431">
        <v>12</v>
      </c>
      <c r="X181" s="424">
        <f t="shared" si="174"/>
        <v>13536.912906666699</v>
      </c>
      <c r="Z181" s="873">
        <f t="shared" si="175"/>
        <v>13536.912906666699</v>
      </c>
      <c r="AA181" s="753">
        <v>3685.06</v>
      </c>
      <c r="AB181" s="753">
        <f t="shared" si="181"/>
        <v>9851.8529066666706</v>
      </c>
    </row>
    <row r="182" spans="1:28" ht="15.75">
      <c r="A182" s="421">
        <v>166</v>
      </c>
      <c r="B182" s="313" t="s">
        <v>394</v>
      </c>
      <c r="C182" s="753">
        <v>156912.66666666701</v>
      </c>
      <c r="D182" s="423">
        <v>12</v>
      </c>
      <c r="E182" s="424">
        <f t="shared" si="177"/>
        <v>1882952</v>
      </c>
      <c r="F182" s="574"/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1:28" ht="15.75">
      <c r="A183" s="421">
        <v>167</v>
      </c>
      <c r="B183" s="313" t="s">
        <v>398</v>
      </c>
      <c r="C183" s="753">
        <v>157279.03333333301</v>
      </c>
      <c r="D183" s="423">
        <v>12</v>
      </c>
      <c r="E183" s="424">
        <f t="shared" si="177"/>
        <v>1887348.4</v>
      </c>
      <c r="F183" s="574"/>
      <c r="G183" s="425">
        <v>123887.44</v>
      </c>
      <c r="I183" s="424">
        <f t="shared" si="178"/>
        <v>1763460.96</v>
      </c>
      <c r="J183" s="424">
        <v>200000</v>
      </c>
      <c r="K183" s="424">
        <v>0.2</v>
      </c>
      <c r="L183" s="424">
        <f t="shared" si="179"/>
        <v>352692.19199999899</v>
      </c>
      <c r="M183" s="424">
        <f t="shared" si="180"/>
        <v>552692.19199999899</v>
      </c>
      <c r="N183" s="424">
        <f t="shared" si="165"/>
        <v>676579.63199999905</v>
      </c>
      <c r="O183" s="424">
        <f t="shared" si="166"/>
        <v>1210768.7679999999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21046.065919999401</v>
      </c>
      <c r="T183" s="424">
        <f t="shared" si="171"/>
        <v>0</v>
      </c>
      <c r="V183" s="424">
        <f t="shared" si="173"/>
        <v>150046.065919999</v>
      </c>
      <c r="W183" s="431">
        <v>12</v>
      </c>
      <c r="X183" s="424">
        <f t="shared" si="174"/>
        <v>12503.838826666601</v>
      </c>
      <c r="Z183" s="873">
        <f t="shared" si="175"/>
        <v>12503.838826666601</v>
      </c>
      <c r="AA183" s="753">
        <v>5230.0987999999998</v>
      </c>
      <c r="AB183" s="753">
        <f t="shared" si="181"/>
        <v>7273.74002666662</v>
      </c>
    </row>
    <row r="184" spans="1:28" ht="15.75">
      <c r="A184" s="421">
        <v>168</v>
      </c>
      <c r="B184" s="313" t="s">
        <v>401</v>
      </c>
      <c r="C184" s="753">
        <v>148049.41666666701</v>
      </c>
      <c r="D184" s="423">
        <v>12</v>
      </c>
      <c r="E184" s="424">
        <f t="shared" si="177"/>
        <v>1776593</v>
      </c>
      <c r="F184" s="574"/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1:28" ht="15.75">
      <c r="A185" s="421">
        <v>169</v>
      </c>
      <c r="B185" s="313" t="s">
        <v>402</v>
      </c>
      <c r="C185" s="753">
        <v>148049.41666666701</v>
      </c>
      <c r="D185" s="423">
        <v>12</v>
      </c>
      <c r="E185" s="424">
        <f t="shared" si="177"/>
        <v>1776593</v>
      </c>
      <c r="F185" s="574"/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1:28" ht="15.75">
      <c r="A186" s="421">
        <v>170</v>
      </c>
      <c r="B186" s="313" t="s">
        <v>403</v>
      </c>
      <c r="C186" s="753">
        <v>162634.66666666701</v>
      </c>
      <c r="D186" s="423">
        <v>12</v>
      </c>
      <c r="E186" s="424">
        <f t="shared" si="177"/>
        <v>1951616</v>
      </c>
      <c r="F186" s="574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1:28" ht="21.95" customHeight="1">
      <c r="A187" s="421">
        <v>171</v>
      </c>
      <c r="B187" s="313" t="s">
        <v>406</v>
      </c>
      <c r="C187" s="753">
        <v>162634.66666666701</v>
      </c>
      <c r="D187" s="423">
        <v>12</v>
      </c>
      <c r="E187" s="424">
        <f t="shared" si="177"/>
        <v>1951616</v>
      </c>
      <c r="F187" s="574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120</v>
      </c>
      <c r="W188" s="572"/>
      <c r="X188" s="877">
        <f t="shared" ref="X188:AB188" si="182">SUM(X6:X187)</f>
        <v>14484768.4273648</v>
      </c>
      <c r="Y188" s="877"/>
      <c r="Z188" s="879">
        <f t="shared" si="182"/>
        <v>14484768.4273648</v>
      </c>
      <c r="AA188" s="879">
        <f t="shared" si="182"/>
        <v>10905235.836174799</v>
      </c>
      <c r="AB188" s="880">
        <f t="shared" si="182"/>
        <v>3580729.7815899299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E15" activePane="bottomRight" state="frozen"/>
      <selection pane="topRight"/>
      <selection pane="bottomLeft"/>
      <selection pane="bottomRight" activeCell="H16" sqref="H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1157" t="s">
        <v>0</v>
      </c>
      <c r="B1" s="1157"/>
      <c r="C1" s="1157"/>
      <c r="D1" s="1157"/>
      <c r="E1" s="1157"/>
      <c r="F1" s="1158"/>
      <c r="G1" s="183"/>
      <c r="H1" s="183"/>
      <c r="I1" s="183"/>
      <c r="J1" s="183"/>
    </row>
    <row r="2" spans="1:10" ht="33.75" customHeight="1">
      <c r="A2" s="843" t="s">
        <v>666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858" t="s">
        <v>595</v>
      </c>
      <c r="H4" s="858" t="s">
        <v>596</v>
      </c>
      <c r="I4" s="858" t="s">
        <v>572</v>
      </c>
      <c r="J4" s="858" t="s">
        <v>598</v>
      </c>
    </row>
    <row r="5" spans="1:10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</row>
    <row r="6" spans="1:10" ht="17.25" customHeight="1">
      <c r="A6" s="2"/>
      <c r="B6" s="2"/>
      <c r="C6" s="6"/>
      <c r="D6" s="6"/>
      <c r="E6" s="8" t="s">
        <v>599</v>
      </c>
      <c r="F6" s="852" t="s">
        <v>600</v>
      </c>
      <c r="G6" s="859" t="s">
        <v>607</v>
      </c>
      <c r="H6" s="859" t="s">
        <v>608</v>
      </c>
      <c r="I6" s="859" t="s">
        <v>609</v>
      </c>
      <c r="J6" s="859" t="s">
        <v>611</v>
      </c>
    </row>
    <row r="7" spans="1:10" ht="20.100000000000001" customHeight="1">
      <c r="A7" s="7" t="s">
        <v>22</v>
      </c>
      <c r="B7" s="6" t="s">
        <v>23</v>
      </c>
      <c r="C7" s="6"/>
      <c r="D7" s="6"/>
      <c r="E7" s="8"/>
      <c r="F7" s="852"/>
      <c r="G7" s="859"/>
      <c r="H7" s="859" t="s">
        <v>617</v>
      </c>
      <c r="I7" s="859" t="s">
        <v>618</v>
      </c>
      <c r="J7" s="859" t="s">
        <v>618</v>
      </c>
    </row>
    <row r="8" spans="1:10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34</v>
      </c>
      <c r="C12" s="10" t="s">
        <v>35</v>
      </c>
      <c r="D12" s="13" t="s">
        <v>578</v>
      </c>
      <c r="E12" s="70">
        <v>716034</v>
      </c>
      <c r="F12" s="853">
        <f>'[4]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860"/>
      <c r="H14" s="860">
        <f t="shared" ref="H14:H38" si="3">0.025*F14</f>
        <v>9160.4375</v>
      </c>
      <c r="I14" s="860">
        <f t="shared" si="0"/>
        <v>9160.4375</v>
      </c>
      <c r="J14" s="860">
        <f t="shared" si="1"/>
        <v>109925.25</v>
      </c>
    </row>
    <row r="15" spans="1:10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860"/>
      <c r="H15" s="860">
        <f t="shared" si="3"/>
        <v>11149.895833333299</v>
      </c>
      <c r="I15" s="860">
        <f t="shared" si="0"/>
        <v>11149.895833333299</v>
      </c>
      <c r="J15" s="860">
        <f t="shared" si="1"/>
        <v>133798.75</v>
      </c>
    </row>
    <row r="16" spans="1:10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860"/>
      <c r="H16" s="860">
        <f t="shared" si="3"/>
        <v>8692.8979166666704</v>
      </c>
      <c r="I16" s="860">
        <f t="shared" si="0"/>
        <v>8692.8979166666704</v>
      </c>
      <c r="J16" s="860">
        <f t="shared" si="1"/>
        <v>104314.77499999999</v>
      </c>
    </row>
    <row r="17" spans="1:10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860"/>
      <c r="H17" s="860">
        <f t="shared" si="3"/>
        <v>10824.5270833333</v>
      </c>
      <c r="I17" s="860">
        <f t="shared" si="0"/>
        <v>10824.5270833333</v>
      </c>
      <c r="J17" s="860">
        <f t="shared" si="1"/>
        <v>129894.325</v>
      </c>
    </row>
    <row r="18" spans="1:10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860"/>
      <c r="H18" s="860">
        <f t="shared" si="3"/>
        <v>8443.2708333333303</v>
      </c>
      <c r="I18" s="860">
        <f t="shared" si="0"/>
        <v>8443.2708333333303</v>
      </c>
      <c r="J18" s="860">
        <f t="shared" si="1"/>
        <v>101319.25</v>
      </c>
    </row>
    <row r="19" spans="1:10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860">
        <v>5607.1770833333303</v>
      </c>
      <c r="H19" s="860">
        <f t="shared" si="3"/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860"/>
      <c r="H21" s="860">
        <f t="shared" si="3"/>
        <v>7791.8312500000002</v>
      </c>
      <c r="I21" s="860">
        <f t="shared" si="0"/>
        <v>7791.8312500000002</v>
      </c>
      <c r="J21" s="860">
        <f t="shared" si="1"/>
        <v>93501.975000000006</v>
      </c>
    </row>
    <row r="22" spans="1:10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860"/>
      <c r="H23" s="860">
        <f t="shared" si="3"/>
        <v>7571.9666666666699</v>
      </c>
      <c r="I23" s="860">
        <f t="shared" si="0"/>
        <v>7571.9666666666699</v>
      </c>
      <c r="J23" s="860">
        <f t="shared" si="1"/>
        <v>90863.600000000093</v>
      </c>
    </row>
    <row r="24" spans="1:10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860"/>
      <c r="H24" s="860">
        <f t="shared" si="3"/>
        <v>7161.1770833333303</v>
      </c>
      <c r="I24" s="860">
        <f t="shared" si="0"/>
        <v>7161.1770833333303</v>
      </c>
      <c r="J24" s="860">
        <f t="shared" si="1"/>
        <v>85934.124999999898</v>
      </c>
    </row>
    <row r="25" spans="1:10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860"/>
      <c r="H25" s="860">
        <f t="shared" si="3"/>
        <v>7161.1770833333303</v>
      </c>
      <c r="I25" s="860">
        <f t="shared" si="0"/>
        <v>7161.1770833333303</v>
      </c>
      <c r="J25" s="860">
        <f t="shared" si="1"/>
        <v>85934.124999999898</v>
      </c>
    </row>
    <row r="26" spans="1:10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860"/>
      <c r="H26" s="860">
        <f t="shared" si="3"/>
        <v>6021.8645833333203</v>
      </c>
      <c r="I26" s="860">
        <f t="shared" si="0"/>
        <v>6021.8645833333203</v>
      </c>
      <c r="J26" s="860">
        <f t="shared" si="1"/>
        <v>72262.374999999898</v>
      </c>
    </row>
    <row r="27" spans="1:10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860"/>
      <c r="H27" s="860">
        <f t="shared" si="3"/>
        <v>6021.8645833333203</v>
      </c>
      <c r="I27" s="860">
        <f t="shared" si="0"/>
        <v>6021.8645833333203</v>
      </c>
      <c r="J27" s="860">
        <f t="shared" si="1"/>
        <v>72262.374999999898</v>
      </c>
    </row>
    <row r="28" spans="1:10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860"/>
      <c r="H28" s="860">
        <f t="shared" si="3"/>
        <v>5690.3937500000002</v>
      </c>
      <c r="I28" s="860">
        <f t="shared" si="0"/>
        <v>5690.3937500000002</v>
      </c>
      <c r="J28" s="860">
        <f t="shared" si="1"/>
        <v>68284.725000000006</v>
      </c>
    </row>
    <row r="29" spans="1:10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860"/>
      <c r="H29" s="860">
        <f t="shared" si="3"/>
        <v>5690.3937500000002</v>
      </c>
      <c r="I29" s="860">
        <f t="shared" si="0"/>
        <v>5690.3937500000002</v>
      </c>
      <c r="J29" s="860">
        <f t="shared" si="1"/>
        <v>68284.725000000006</v>
      </c>
    </row>
    <row r="30" spans="1:10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860"/>
      <c r="H30" s="860">
        <f t="shared" si="3"/>
        <v>5690.3937500000002</v>
      </c>
      <c r="I30" s="860">
        <f t="shared" si="0"/>
        <v>5690.3937500000002</v>
      </c>
      <c r="J30" s="860">
        <f t="shared" si="1"/>
        <v>68284.725000000006</v>
      </c>
    </row>
    <row r="31" spans="1:10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860"/>
      <c r="H31" s="860">
        <f t="shared" si="3"/>
        <v>5566.8645833333203</v>
      </c>
      <c r="I31" s="860">
        <f t="shared" si="0"/>
        <v>5566.8645833333203</v>
      </c>
      <c r="J31" s="860">
        <f t="shared" si="1"/>
        <v>66802.374999999898</v>
      </c>
    </row>
    <row r="32" spans="1:10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860"/>
      <c r="H32" s="860">
        <f t="shared" si="3"/>
        <v>5443.3354166666804</v>
      </c>
      <c r="I32" s="860">
        <f t="shared" si="0"/>
        <v>5443.3354166666804</v>
      </c>
      <c r="J32" s="860">
        <f t="shared" si="1"/>
        <v>65320.025000000103</v>
      </c>
    </row>
    <row r="33" spans="1:10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860"/>
      <c r="H33" s="860">
        <f t="shared" si="3"/>
        <v>5443.3354166666804</v>
      </c>
      <c r="I33" s="860">
        <f t="shared" si="0"/>
        <v>5443.3354166666804</v>
      </c>
      <c r="J33" s="860">
        <f t="shared" si="1"/>
        <v>65320.025000000103</v>
      </c>
    </row>
    <row r="34" spans="1:10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860">
        <v>3653.5</v>
      </c>
      <c r="H34" s="860">
        <f t="shared" si="3"/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860"/>
      <c r="H35" s="860">
        <f t="shared" si="3"/>
        <v>5443.3354166666804</v>
      </c>
      <c r="I35" s="860">
        <f t="shared" si="0"/>
        <v>5443.3354166666804</v>
      </c>
      <c r="J35" s="860">
        <f t="shared" si="1"/>
        <v>65320.025000000103</v>
      </c>
    </row>
    <row r="36" spans="1:10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860"/>
      <c r="H36" s="860">
        <f t="shared" si="3"/>
        <v>5443.3354166666804</v>
      </c>
      <c r="I36" s="860">
        <f t="shared" si="0"/>
        <v>5443.3354166666804</v>
      </c>
      <c r="J36" s="860">
        <f t="shared" si="1"/>
        <v>65320.025000000103</v>
      </c>
    </row>
    <row r="37" spans="1:10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860"/>
      <c r="H37" s="860">
        <f t="shared" si="3"/>
        <v>4909.1104166666801</v>
      </c>
      <c r="I37" s="860">
        <f t="shared" si="0"/>
        <v>4909.1104166666801</v>
      </c>
      <c r="J37" s="860">
        <f t="shared" si="1"/>
        <v>58909.325000000099</v>
      </c>
    </row>
    <row r="38" spans="1:10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860"/>
      <c r="H38" s="860">
        <f t="shared" si="3"/>
        <v>4804.4854166666801</v>
      </c>
      <c r="I38" s="860">
        <f t="shared" si="0"/>
        <v>4804.4854166666801</v>
      </c>
      <c r="J38" s="860">
        <f t="shared" si="1"/>
        <v>57653.825000000099</v>
      </c>
    </row>
    <row r="39" spans="1:10" ht="26.25" customHeight="1">
      <c r="A39" s="8"/>
      <c r="B39" s="18" t="s">
        <v>120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211712.89791666699</v>
      </c>
      <c r="I39" s="187">
        <f t="shared" si="4"/>
        <v>162780.92499999999</v>
      </c>
      <c r="J39" s="187">
        <f t="shared" si="4"/>
        <v>2540554.7749999999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121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860"/>
      <c r="H42" s="860">
        <f>0.025*F42</f>
        <v>27169.427083333299</v>
      </c>
      <c r="I42" s="860">
        <f t="shared" ref="I42:I45" si="5">H42-G42</f>
        <v>27169.427083333299</v>
      </c>
      <c r="J42" s="860"/>
    </row>
    <row r="43" spans="1:10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860"/>
      <c r="H43" s="860">
        <f>0.025*F43</f>
        <v>6021.8645833333203</v>
      </c>
      <c r="I43" s="860">
        <f t="shared" si="5"/>
        <v>6021.8645833333203</v>
      </c>
      <c r="J43" s="860"/>
    </row>
    <row r="44" spans="1:10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860"/>
      <c r="H44" s="860">
        <f t="shared" ref="H44:H54" si="6">0.025*F44</f>
        <v>6154.2791666666799</v>
      </c>
      <c r="I44" s="860">
        <f t="shared" si="5"/>
        <v>6154.2791666666799</v>
      </c>
      <c r="J44" s="860"/>
    </row>
    <row r="45" spans="1:10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860"/>
      <c r="H45" s="860">
        <f t="shared" si="6"/>
        <v>5443.3354166666804</v>
      </c>
      <c r="I45" s="860">
        <f t="shared" si="5"/>
        <v>5443.3354166666804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7">SUM(E42:E45)</f>
        <v>2308752.4166666698</v>
      </c>
      <c r="F46" s="854">
        <f t="shared" si="7"/>
        <v>1791556.25</v>
      </c>
      <c r="G46" s="187">
        <f t="shared" si="7"/>
        <v>0</v>
      </c>
      <c r="H46" s="187">
        <f t="shared" si="7"/>
        <v>44788.906249999898</v>
      </c>
      <c r="I46" s="187">
        <f t="shared" si="7"/>
        <v>44788.906249999898</v>
      </c>
      <c r="J46" s="187">
        <f t="shared" si="7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137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860"/>
      <c r="H49" s="860">
        <f t="shared" si="6"/>
        <v>13866.737499999999</v>
      </c>
      <c r="I49" s="860">
        <f t="shared" ref="I49:I56" si="8">H49-G49</f>
        <v>13866.737499999999</v>
      </c>
      <c r="J49" s="860"/>
    </row>
    <row r="50" spans="1:10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860"/>
      <c r="H50" s="860">
        <f t="shared" si="6"/>
        <v>11475.262500000001</v>
      </c>
      <c r="I50" s="860">
        <f t="shared" si="8"/>
        <v>11475.262500000001</v>
      </c>
      <c r="J50" s="860"/>
    </row>
    <row r="51" spans="1:10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860">
        <v>8380.2270833333296</v>
      </c>
      <c r="H51" s="860">
        <f t="shared" si="6"/>
        <v>11475.262500000001</v>
      </c>
      <c r="I51" s="860">
        <f t="shared" si="8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860"/>
      <c r="H52" s="860">
        <f t="shared" si="6"/>
        <v>11149.895833333299</v>
      </c>
      <c r="I52" s="860">
        <f t="shared" si="8"/>
        <v>11149.895833333299</v>
      </c>
      <c r="J52" s="860"/>
    </row>
    <row r="53" spans="1:10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860"/>
      <c r="H53" s="860">
        <f t="shared" si="6"/>
        <v>10824.5270833333</v>
      </c>
      <c r="I53" s="860">
        <f t="shared" si="8"/>
        <v>10824.5270833333</v>
      </c>
      <c r="J53" s="860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860"/>
      <c r="H54" s="860">
        <f t="shared" si="6"/>
        <v>6154.2791666666799</v>
      </c>
      <c r="I54" s="860">
        <f t="shared" si="8"/>
        <v>6154.2791666666799</v>
      </c>
      <c r="J54" s="860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860"/>
      <c r="H55" s="860">
        <f t="shared" ref="H55:H61" si="9">0.025*F55</f>
        <v>5566.8645833333203</v>
      </c>
      <c r="I55" s="860">
        <f t="shared" si="8"/>
        <v>5566.8645833333203</v>
      </c>
      <c r="J55" s="860"/>
    </row>
    <row r="56" spans="1:10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860"/>
      <c r="H56" s="860">
        <f t="shared" si="9"/>
        <v>5566.8645833333203</v>
      </c>
      <c r="I56" s="860">
        <f t="shared" si="8"/>
        <v>5566.8645833333203</v>
      </c>
      <c r="J56" s="860"/>
    </row>
    <row r="57" spans="1:10" ht="25.5" customHeight="1">
      <c r="A57" s="8"/>
      <c r="B57" s="18" t="s">
        <v>120</v>
      </c>
      <c r="C57" s="19">
        <v>8</v>
      </c>
      <c r="D57" s="19"/>
      <c r="E57" s="78">
        <f t="shared" ref="E57:J57" si="10">SUM(E49:E56)</f>
        <v>4037104.0833333302</v>
      </c>
      <c r="F57" s="856">
        <f t="shared" si="10"/>
        <v>3043187.75</v>
      </c>
      <c r="G57" s="78">
        <f t="shared" si="10"/>
        <v>8380.2270833333296</v>
      </c>
      <c r="H57" s="78">
        <f t="shared" si="10"/>
        <v>76079.693750000006</v>
      </c>
      <c r="I57" s="78">
        <f t="shared" si="10"/>
        <v>67699.466666666704</v>
      </c>
      <c r="J57" s="78">
        <f t="shared" si="10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157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860"/>
      <c r="H60" s="860">
        <f t="shared" si="9"/>
        <v>27169.427083333299</v>
      </c>
      <c r="I60" s="860">
        <f t="shared" ref="I60:I71" si="11">H60-G60</f>
        <v>27169.427083333299</v>
      </c>
      <c r="J60" s="860"/>
    </row>
    <row r="61" spans="1:10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860"/>
      <c r="H61" s="860">
        <f t="shared" si="9"/>
        <v>11475.262500000001</v>
      </c>
      <c r="I61" s="860">
        <f t="shared" si="11"/>
        <v>11475.262500000001</v>
      </c>
      <c r="J61" s="860"/>
    </row>
    <row r="62" spans="1:10" ht="20.100000000000001" customHeight="1">
      <c r="A62" s="8"/>
      <c r="B62" s="18" t="s">
        <v>120</v>
      </c>
      <c r="C62" s="19">
        <v>2</v>
      </c>
      <c r="D62" s="19"/>
      <c r="E62" s="78">
        <f t="shared" ref="E62:J62" si="12">SUM(E60:E61)</f>
        <v>2056395.58333333</v>
      </c>
      <c r="F62" s="856">
        <f t="shared" si="12"/>
        <v>1545787.58333333</v>
      </c>
      <c r="G62" s="78">
        <f t="shared" si="12"/>
        <v>0</v>
      </c>
      <c r="H62" s="78">
        <f t="shared" si="12"/>
        <v>38644.689583333296</v>
      </c>
      <c r="I62" s="78">
        <f t="shared" si="12"/>
        <v>38644.689583333296</v>
      </c>
      <c r="J62" s="78">
        <f t="shared" si="12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163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11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860"/>
      <c r="H66" s="860">
        <f t="shared" ref="H66:H71" si="13">0.025*F66</f>
        <v>8692.8979166666704</v>
      </c>
      <c r="I66" s="860">
        <f t="shared" si="11"/>
        <v>8692.8979166666704</v>
      </c>
      <c r="J66" s="860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860"/>
      <c r="H67" s="860">
        <f t="shared" si="13"/>
        <v>7366.5729166666797</v>
      </c>
      <c r="I67" s="860">
        <f t="shared" si="11"/>
        <v>7366.5729166666797</v>
      </c>
      <c r="J67" s="860"/>
    </row>
    <row r="68" spans="1:10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860"/>
      <c r="H68" s="860">
        <f t="shared" si="13"/>
        <v>7366.5729166666797</v>
      </c>
      <c r="I68" s="860">
        <f t="shared" si="11"/>
        <v>7366.5729166666797</v>
      </c>
      <c r="J68" s="860"/>
    </row>
    <row r="69" spans="1:10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860"/>
      <c r="H69" s="860">
        <f t="shared" si="13"/>
        <v>7366.5729166666797</v>
      </c>
      <c r="I69" s="860">
        <f t="shared" si="11"/>
        <v>7366.5729166666797</v>
      </c>
      <c r="J69" s="860"/>
    </row>
    <row r="70" spans="1:10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860"/>
      <c r="H70" s="860">
        <f t="shared" si="13"/>
        <v>7571.9666666666699</v>
      </c>
      <c r="I70" s="860">
        <f t="shared" si="11"/>
        <v>7571.9666666666699</v>
      </c>
      <c r="J70" s="860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860"/>
      <c r="H71" s="860">
        <f t="shared" si="13"/>
        <v>6154.2791666666799</v>
      </c>
      <c r="I71" s="860">
        <f t="shared" si="11"/>
        <v>6154.2791666666799</v>
      </c>
      <c r="J71" s="860"/>
    </row>
    <row r="72" spans="1:10" ht="27" customHeight="1">
      <c r="A72" s="8"/>
      <c r="B72" s="18" t="s">
        <v>120</v>
      </c>
      <c r="C72" s="19">
        <v>7</v>
      </c>
      <c r="D72" s="19"/>
      <c r="E72" s="78">
        <f t="shared" ref="E72:J72" si="14">SUM(E65:E71)</f>
        <v>3051668.9166666698</v>
      </c>
      <c r="F72" s="856">
        <f t="shared" si="14"/>
        <v>2335424</v>
      </c>
      <c r="G72" s="78">
        <f t="shared" si="14"/>
        <v>10293.3979166667</v>
      </c>
      <c r="H72" s="78">
        <f t="shared" si="14"/>
        <v>58385.599999999999</v>
      </c>
      <c r="I72" s="78">
        <f t="shared" si="14"/>
        <v>48092.202083333403</v>
      </c>
      <c r="J72" s="78">
        <f t="shared" si="14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182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860"/>
      <c r="H75" s="860">
        <f t="shared" ref="H75:H80" si="15">0.025*F75</f>
        <v>27169.427083333299</v>
      </c>
      <c r="I75" s="860">
        <f t="shared" ref="I75:I80" si="16">H75-G75</f>
        <v>27169.427083333299</v>
      </c>
      <c r="J75" s="860"/>
    </row>
    <row r="76" spans="1:10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860"/>
      <c r="H76" s="860">
        <f t="shared" si="15"/>
        <v>11149.895833333299</v>
      </c>
      <c r="I76" s="860">
        <f t="shared" si="16"/>
        <v>11149.895833333299</v>
      </c>
      <c r="J76" s="860"/>
    </row>
    <row r="77" spans="1:10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860">
        <v>6154.3229166666697</v>
      </c>
      <c r="H77" s="860">
        <f t="shared" si="15"/>
        <v>8926.6666666666806</v>
      </c>
      <c r="I77" s="860">
        <f t="shared" si="16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860"/>
      <c r="H78" s="860">
        <f t="shared" si="15"/>
        <v>7161.1770833333303</v>
      </c>
      <c r="I78" s="860">
        <f t="shared" si="16"/>
        <v>7161.1770833333303</v>
      </c>
      <c r="J78" s="860"/>
    </row>
    <row r="79" spans="1:10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860"/>
      <c r="H79" s="860">
        <f t="shared" si="15"/>
        <v>5566.8645833333203</v>
      </c>
      <c r="I79" s="860">
        <f t="shared" si="16"/>
        <v>5566.8645833333203</v>
      </c>
      <c r="J79" s="860"/>
    </row>
    <row r="80" spans="1:10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860"/>
      <c r="H80" s="860">
        <f t="shared" si="15"/>
        <v>4909.1104166666801</v>
      </c>
      <c r="I80" s="860">
        <f t="shared" si="16"/>
        <v>4909.1104166666801</v>
      </c>
      <c r="J80" s="860"/>
    </row>
    <row r="81" spans="1:10" ht="20.100000000000001" customHeight="1">
      <c r="A81" s="8"/>
      <c r="B81" s="18" t="s">
        <v>120</v>
      </c>
      <c r="C81" s="19">
        <v>6</v>
      </c>
      <c r="D81" s="19"/>
      <c r="E81" s="78">
        <f t="shared" ref="E81:J81" si="17">SUM(E75:E80)</f>
        <v>3347837.1666666698</v>
      </c>
      <c r="F81" s="856">
        <f t="shared" si="17"/>
        <v>2595325.66666666</v>
      </c>
      <c r="G81" s="78">
        <f t="shared" si="17"/>
        <v>6154.3229166666697</v>
      </c>
      <c r="H81" s="78">
        <f t="shared" si="17"/>
        <v>64883.141666666597</v>
      </c>
      <c r="I81" s="78">
        <f t="shared" si="17"/>
        <v>58728.818749999897</v>
      </c>
      <c r="J81" s="78">
        <f t="shared" si="17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204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8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860"/>
      <c r="H85" s="860">
        <f t="shared" ref="H85:H93" si="19">0.025*F85</f>
        <v>13084.6625</v>
      </c>
      <c r="I85" s="860">
        <f t="shared" si="18"/>
        <v>13084.6625</v>
      </c>
      <c r="J85" s="860"/>
    </row>
    <row r="86" spans="1:10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860"/>
      <c r="H86" s="860">
        <f t="shared" si="19"/>
        <v>11149.895833333299</v>
      </c>
      <c r="I86" s="860">
        <f t="shared" si="18"/>
        <v>11149.895833333299</v>
      </c>
      <c r="J86" s="860"/>
    </row>
    <row r="87" spans="1:10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442746.5</v>
      </c>
      <c r="G87" s="860"/>
      <c r="H87" s="860">
        <f t="shared" si="19"/>
        <v>11068.6625</v>
      </c>
      <c r="I87" s="860">
        <f t="shared" si="18"/>
        <v>11068.6625</v>
      </c>
      <c r="J87" s="860"/>
    </row>
    <row r="88" spans="1:10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442746.5</v>
      </c>
      <c r="G88" s="860"/>
      <c r="H88" s="860">
        <f t="shared" si="19"/>
        <v>11068.6625</v>
      </c>
      <c r="I88" s="860">
        <f t="shared" si="18"/>
        <v>11068.6625</v>
      </c>
      <c r="J88" s="860"/>
    </row>
    <row r="89" spans="1:10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428870.75</v>
      </c>
      <c r="G89" s="860"/>
      <c r="H89" s="860">
        <f t="shared" si="19"/>
        <v>10721.768749999999</v>
      </c>
      <c r="I89" s="860">
        <f t="shared" si="18"/>
        <v>10721.768749999999</v>
      </c>
      <c r="J89" s="860"/>
    </row>
    <row r="90" spans="1:10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860"/>
      <c r="H90" s="860">
        <f t="shared" si="19"/>
        <v>7366.5729166666797</v>
      </c>
      <c r="I90" s="860">
        <f t="shared" si="18"/>
        <v>7366.5729166666797</v>
      </c>
      <c r="J90" s="860"/>
    </row>
    <row r="91" spans="1:10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860">
        <v>5259.7437499999996</v>
      </c>
      <c r="H91" s="860">
        <f t="shared" si="19"/>
        <v>7791.8312500000002</v>
      </c>
      <c r="I91" s="860">
        <f t="shared" si="18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860"/>
      <c r="H92" s="860">
        <f t="shared" si="19"/>
        <v>6154.2791666666799</v>
      </c>
      <c r="I92" s="860">
        <f t="shared" si="18"/>
        <v>6154.2791666666799</v>
      </c>
      <c r="J92" s="860"/>
    </row>
    <row r="93" spans="1:10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860"/>
      <c r="H93" s="860">
        <f t="shared" si="19"/>
        <v>5013.7354166666801</v>
      </c>
      <c r="I93" s="860">
        <f t="shared" si="18"/>
        <v>5013.7354166666801</v>
      </c>
      <c r="J93" s="860"/>
    </row>
    <row r="94" spans="1:10" ht="20.100000000000001" customHeight="1">
      <c r="A94" s="8"/>
      <c r="B94" s="18" t="s">
        <v>120</v>
      </c>
      <c r="C94" s="19">
        <v>10</v>
      </c>
      <c r="D94" s="19"/>
      <c r="E94" s="78">
        <f t="shared" ref="E94:J94" si="20">SUM(E84:E93)</f>
        <v>5352203.1666666698</v>
      </c>
      <c r="F94" s="856">
        <f t="shared" si="20"/>
        <v>4362571.1666666605</v>
      </c>
      <c r="G94" s="78">
        <f t="shared" si="20"/>
        <v>23514.71875</v>
      </c>
      <c r="H94" s="78">
        <f t="shared" si="20"/>
        <v>109064.27916666699</v>
      </c>
      <c r="I94" s="78">
        <f t="shared" si="20"/>
        <v>85549.560416666602</v>
      </c>
      <c r="J94" s="78">
        <f t="shared" si="20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226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21">H97-G97</f>
        <v>8151.8458333332501</v>
      </c>
      <c r="J97" s="860">
        <f t="shared" ref="J97:J101" si="22">H97*12</f>
        <v>316881.84999999899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860"/>
      <c r="H98" s="860">
        <f>0.025*F98</f>
        <v>8926.6666666666806</v>
      </c>
      <c r="I98" s="860">
        <f t="shared" si="21"/>
        <v>8926.6666666666806</v>
      </c>
      <c r="J98" s="860">
        <f t="shared" si="22"/>
        <v>107120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21"/>
        <v>1824.5250000000001</v>
      </c>
      <c r="J99" s="860">
        <f t="shared" si="22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860"/>
      <c r="H100" s="860">
        <f t="shared" ref="H100:H109" si="23">0.025*F100</f>
        <v>7571.9666666666699</v>
      </c>
      <c r="I100" s="860">
        <f t="shared" si="21"/>
        <v>7571.9666666666699</v>
      </c>
      <c r="J100" s="860">
        <f t="shared" si="22"/>
        <v>90863.600000000093</v>
      </c>
    </row>
    <row r="101" spans="1:10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860"/>
      <c r="H101" s="860">
        <f t="shared" si="23"/>
        <v>6154.2791666666799</v>
      </c>
      <c r="I101" s="860">
        <f t="shared" si="21"/>
        <v>6154.2791666666799</v>
      </c>
      <c r="J101" s="860">
        <f t="shared" si="22"/>
        <v>73851.350000000093</v>
      </c>
    </row>
    <row r="102" spans="1:10" ht="20.100000000000001" customHeight="1">
      <c r="A102" s="2"/>
      <c r="B102" s="18" t="s">
        <v>120</v>
      </c>
      <c r="C102" s="19">
        <v>5</v>
      </c>
      <c r="D102" s="24"/>
      <c r="E102" s="78">
        <f t="shared" ref="E102:J102" si="24">SUM(E97:E101)</f>
        <v>2966505.25</v>
      </c>
      <c r="F102" s="856">
        <f t="shared" si="24"/>
        <v>2274062.5833333302</v>
      </c>
      <c r="G102" s="78">
        <f t="shared" si="24"/>
        <v>24222.28125</v>
      </c>
      <c r="H102" s="78">
        <f t="shared" si="24"/>
        <v>56851.564583333296</v>
      </c>
      <c r="I102" s="78">
        <f t="shared" si="24"/>
        <v>32629.2833333333</v>
      </c>
      <c r="J102" s="78">
        <f t="shared" si="24"/>
        <v>682218.77499999898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239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860">
        <v>0</v>
      </c>
      <c r="H105" s="860">
        <f t="shared" si="23"/>
        <v>27169.427083333299</v>
      </c>
      <c r="I105" s="860">
        <f t="shared" ref="I105:I111" si="25">H105-G105</f>
        <v>27169.427083333299</v>
      </c>
      <c r="J105" s="860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860">
        <v>10293.3979166667</v>
      </c>
      <c r="H106" s="860">
        <f t="shared" si="23"/>
        <v>13866.737499999999</v>
      </c>
      <c r="I106" s="860">
        <f t="shared" si="25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860">
        <v>5954.6104166666701</v>
      </c>
      <c r="H107" s="860">
        <f t="shared" si="23"/>
        <v>8443.2708333333303</v>
      </c>
      <c r="I107" s="860">
        <f t="shared" si="25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853">
        <v>337730.83333333302</v>
      </c>
      <c r="G108" s="860"/>
      <c r="H108" s="860">
        <f t="shared" si="23"/>
        <v>8443.2708333333303</v>
      </c>
      <c r="I108" s="860">
        <f t="shared" si="25"/>
        <v>8443.2708333333303</v>
      </c>
      <c r="J108" s="860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860"/>
      <c r="H109" s="860">
        <f t="shared" si="23"/>
        <v>5327.6104166666801</v>
      </c>
      <c r="I109" s="860">
        <f t="shared" si="25"/>
        <v>5327.6104166666801</v>
      </c>
      <c r="J109" s="860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860"/>
      <c r="H110" s="860">
        <f t="shared" ref="H110:H115" si="26">0.025*F110</f>
        <v>5319.8041666666804</v>
      </c>
      <c r="I110" s="860">
        <f t="shared" si="25"/>
        <v>5319.8041666666804</v>
      </c>
      <c r="J110" s="860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860"/>
      <c r="H111" s="860">
        <f t="shared" si="26"/>
        <v>5013.7354166666801</v>
      </c>
      <c r="I111" s="860">
        <f t="shared" si="25"/>
        <v>5013.7354166666801</v>
      </c>
      <c r="J111" s="860"/>
    </row>
    <row r="112" spans="1:10" ht="25.5" customHeight="1">
      <c r="A112" s="2"/>
      <c r="B112" s="18" t="s">
        <v>120</v>
      </c>
      <c r="C112" s="19">
        <v>7</v>
      </c>
      <c r="D112" s="2"/>
      <c r="E112" s="189">
        <f t="shared" ref="E112:J112" si="27">SUM(E105:E111)</f>
        <v>3829676.6666666698</v>
      </c>
      <c r="F112" s="862">
        <f t="shared" si="27"/>
        <v>2943354.25</v>
      </c>
      <c r="G112" s="189">
        <f t="shared" si="27"/>
        <v>16248.008333333401</v>
      </c>
      <c r="H112" s="189">
        <f t="shared" si="27"/>
        <v>73583.856249999895</v>
      </c>
      <c r="I112" s="189">
        <f t="shared" si="27"/>
        <v>57335.8479166666</v>
      </c>
      <c r="J112" s="189">
        <f t="shared" si="27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860"/>
      <c r="H115" s="860">
        <f t="shared" si="26"/>
        <v>7571.9666666666699</v>
      </c>
      <c r="I115" s="860">
        <f t="shared" ref="I115:I117" si="28">H115-G115</f>
        <v>7571.9666666666699</v>
      </c>
      <c r="J115" s="860"/>
    </row>
    <row r="116" spans="1:10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860"/>
      <c r="H116" s="860">
        <f t="shared" ref="H116:H122" si="29">0.025*F116</f>
        <v>7366.5729166666797</v>
      </c>
      <c r="I116" s="860">
        <f t="shared" si="28"/>
        <v>7366.5729166666797</v>
      </c>
      <c r="J116" s="860"/>
    </row>
    <row r="117" spans="1:10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860">
        <v>5967.3062499999996</v>
      </c>
      <c r="H117" s="860">
        <f t="shared" si="29"/>
        <v>7574.6854166666699</v>
      </c>
      <c r="I117" s="860">
        <f t="shared" si="28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120</v>
      </c>
      <c r="C118" s="19">
        <v>3</v>
      </c>
      <c r="D118" s="24"/>
      <c r="E118" s="78">
        <f t="shared" ref="E118:J118" si="30">SUM(E115:E117)</f>
        <v>1158230.58333333</v>
      </c>
      <c r="F118" s="856">
        <f t="shared" si="30"/>
        <v>900529.00000000105</v>
      </c>
      <c r="G118" s="78">
        <f t="shared" si="30"/>
        <v>5967.3062499999996</v>
      </c>
      <c r="H118" s="78">
        <f t="shared" si="30"/>
        <v>22513.224999999999</v>
      </c>
      <c r="I118" s="78">
        <f t="shared" si="30"/>
        <v>16545.918750000001</v>
      </c>
      <c r="J118" s="78">
        <f t="shared" si="30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268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860"/>
      <c r="H121" s="860">
        <f t="shared" si="29"/>
        <v>4699.8604166666801</v>
      </c>
      <c r="I121" s="860">
        <f t="shared" ref="I121:I135" si="31">H121-G121</f>
        <v>4699.8604166666801</v>
      </c>
      <c r="J121" s="860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860"/>
      <c r="H122" s="860">
        <f t="shared" si="29"/>
        <v>4699.8604166666801</v>
      </c>
      <c r="I122" s="860">
        <f t="shared" si="31"/>
        <v>4699.8604166666801</v>
      </c>
      <c r="J122" s="860"/>
    </row>
    <row r="123" spans="1:10" ht="20.100000000000001" customHeight="1">
      <c r="A123" s="2"/>
      <c r="B123" s="18" t="s">
        <v>120</v>
      </c>
      <c r="C123" s="19">
        <v>3</v>
      </c>
      <c r="D123" s="24"/>
      <c r="E123" s="78">
        <f t="shared" ref="E123:J123" si="32">SUM(E121:E122)</f>
        <v>436575.16666666599</v>
      </c>
      <c r="F123" s="856">
        <f t="shared" si="32"/>
        <v>375988.83333333401</v>
      </c>
      <c r="G123" s="78">
        <f t="shared" si="32"/>
        <v>0</v>
      </c>
      <c r="H123" s="78">
        <f t="shared" si="32"/>
        <v>9399.7208333333492</v>
      </c>
      <c r="I123" s="78">
        <f t="shared" si="32"/>
        <v>9399.7208333333492</v>
      </c>
      <c r="J123" s="78">
        <f t="shared" si="32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860">
        <v>19384.766666666699</v>
      </c>
      <c r="H126" s="860">
        <f t="shared" ref="H126:H135" si="33">0.025*F126</f>
        <v>27169.427083333299</v>
      </c>
      <c r="I126" s="860">
        <f t="shared" si="31"/>
        <v>7784.6604166665502</v>
      </c>
      <c r="J126" s="860">
        <f t="shared" ref="J126:J135" si="34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860">
        <v>9980.5666666666693</v>
      </c>
      <c r="H127" s="860">
        <f t="shared" si="33"/>
        <v>13866.737499999999</v>
      </c>
      <c r="I127" s="860">
        <f t="shared" si="31"/>
        <v>3886.1708333333299</v>
      </c>
      <c r="J127" s="860">
        <f t="shared" si="34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860">
        <v>9980.5666666666693</v>
      </c>
      <c r="H128" s="860">
        <f t="shared" si="33"/>
        <v>13084.6625</v>
      </c>
      <c r="I128" s="860">
        <f t="shared" si="31"/>
        <v>3104.0958333333301</v>
      </c>
      <c r="J128" s="860">
        <f t="shared" si="34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860">
        <v>0</v>
      </c>
      <c r="H129" s="860">
        <f t="shared" si="33"/>
        <v>9160.4375</v>
      </c>
      <c r="I129" s="860">
        <f t="shared" si="31"/>
        <v>9160.4375</v>
      </c>
      <c r="J129" s="860">
        <f t="shared" si="34"/>
        <v>109925.25</v>
      </c>
    </row>
    <row r="130" spans="1:10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860">
        <v>5967.3062499999996</v>
      </c>
      <c r="H130" s="860">
        <f t="shared" si="33"/>
        <v>8692.8979166666704</v>
      </c>
      <c r="I130" s="860">
        <f t="shared" si="31"/>
        <v>2725.5916666666699</v>
      </c>
      <c r="J130" s="860">
        <f t="shared" si="34"/>
        <v>104314.77499999999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860">
        <v>6154.3229166666697</v>
      </c>
      <c r="H131" s="860">
        <f t="shared" si="33"/>
        <v>8926.6666666666806</v>
      </c>
      <c r="I131" s="860">
        <f t="shared" si="31"/>
        <v>2772.34375000001</v>
      </c>
      <c r="J131" s="860">
        <f t="shared" si="34"/>
        <v>107120</v>
      </c>
    </row>
    <row r="132" spans="1:10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860"/>
      <c r="H132" s="860">
        <f t="shared" si="33"/>
        <v>5690.3937500000002</v>
      </c>
      <c r="I132" s="860">
        <f t="shared" si="31"/>
        <v>5690.3937500000002</v>
      </c>
      <c r="J132" s="860">
        <f t="shared" si="34"/>
        <v>68284.725000000006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860">
        <v>0</v>
      </c>
      <c r="H133" s="860">
        <f t="shared" si="33"/>
        <v>4909.1104166666801</v>
      </c>
      <c r="I133" s="860">
        <f t="shared" si="31"/>
        <v>4909.1104166666801</v>
      </c>
      <c r="J133" s="860">
        <f t="shared" si="34"/>
        <v>58909.325000000099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860">
        <v>0</v>
      </c>
      <c r="H134" s="860">
        <f t="shared" si="33"/>
        <v>4909.1104166666801</v>
      </c>
      <c r="I134" s="860">
        <f t="shared" si="31"/>
        <v>4909.1104166666801</v>
      </c>
      <c r="J134" s="860">
        <f t="shared" si="34"/>
        <v>58909.325000000099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0"/>
      <c r="H135" s="860">
        <f t="shared" si="33"/>
        <v>4804.4854166666801</v>
      </c>
      <c r="I135" s="860">
        <f t="shared" si="31"/>
        <v>4804.4854166666801</v>
      </c>
      <c r="J135" s="860">
        <f t="shared" si="34"/>
        <v>57653.825000000099</v>
      </c>
    </row>
    <row r="136" spans="1:10" ht="28.5" customHeight="1">
      <c r="A136" s="2"/>
      <c r="B136" s="18" t="s">
        <v>120</v>
      </c>
      <c r="C136" s="24" t="s">
        <v>634</v>
      </c>
      <c r="D136" s="13"/>
      <c r="E136" s="122">
        <f t="shared" ref="E136:J136" si="35">SUM(E126:E135)</f>
        <v>5289142.75</v>
      </c>
      <c r="F136" s="857">
        <f t="shared" si="35"/>
        <v>4048557.1666666698</v>
      </c>
      <c r="G136" s="187">
        <f t="shared" si="35"/>
        <v>51467.529166666704</v>
      </c>
      <c r="H136" s="187">
        <f t="shared" si="35"/>
        <v>101213.929166667</v>
      </c>
      <c r="I136" s="187">
        <f t="shared" si="35"/>
        <v>49746.3999999999</v>
      </c>
      <c r="J136" s="187">
        <f t="shared" si="35"/>
        <v>1214567.1499999999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301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860">
        <v>18254.974999999999</v>
      </c>
      <c r="H139" s="860">
        <f t="shared" ref="H139:H156" si="36">0.025*F139</f>
        <v>25644.208333333299</v>
      </c>
      <c r="I139" s="860">
        <f t="shared" ref="I139:I198" si="37">H139-G139</f>
        <v>7389.2333333332499</v>
      </c>
      <c r="J139" s="860">
        <f t="shared" ref="J139:J198" si="38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860">
        <v>10293.3979166667</v>
      </c>
      <c r="H140" s="860">
        <f t="shared" si="36"/>
        <v>13866.737499999999</v>
      </c>
      <c r="I140" s="860">
        <f t="shared" si="37"/>
        <v>3573.3395833333002</v>
      </c>
      <c r="J140" s="860">
        <f t="shared" si="38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36"/>
        <v>10824.5270833333</v>
      </c>
      <c r="I141" s="860">
        <f t="shared" si="37"/>
        <v>2444.3000000000002</v>
      </c>
      <c r="J141" s="860">
        <f t="shared" si="38"/>
        <v>129894.325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36"/>
        <v>10824.5270833333</v>
      </c>
      <c r="I142" s="860">
        <f t="shared" si="37"/>
        <v>2443.3000000000002</v>
      </c>
      <c r="J142" s="860">
        <f t="shared" si="38"/>
        <v>129894.325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36"/>
        <v>10824.5270833333</v>
      </c>
      <c r="I143" s="860">
        <f t="shared" si="37"/>
        <v>2442.3000000000002</v>
      </c>
      <c r="J143" s="860">
        <f t="shared" si="38"/>
        <v>129894.325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311673.25</v>
      </c>
      <c r="G144" s="860">
        <v>0</v>
      </c>
      <c r="H144" s="860">
        <f t="shared" si="36"/>
        <v>7791.8312500000002</v>
      </c>
      <c r="I144" s="860">
        <f t="shared" si="37"/>
        <v>7791.8312500000002</v>
      </c>
      <c r="J144" s="860">
        <f t="shared" si="38"/>
        <v>93501.975000000006</v>
      </c>
    </row>
    <row r="145" spans="1:10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860">
        <v>0</v>
      </c>
      <c r="H145" s="860">
        <f t="shared" si="36"/>
        <v>7574.6854166666699</v>
      </c>
      <c r="I145" s="860">
        <f t="shared" si="37"/>
        <v>7574.6854166666699</v>
      </c>
      <c r="J145" s="860">
        <f t="shared" si="38"/>
        <v>90896.225000000093</v>
      </c>
    </row>
    <row r="146" spans="1:10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860">
        <v>0</v>
      </c>
      <c r="H146" s="860">
        <f t="shared" si="36"/>
        <v>7571.9666666666699</v>
      </c>
      <c r="I146" s="860">
        <f t="shared" si="37"/>
        <v>7571.9666666666699</v>
      </c>
      <c r="J146" s="860">
        <f t="shared" si="38"/>
        <v>90863.600000000093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860">
        <v>4928.9333333333298</v>
      </c>
      <c r="H147" s="860">
        <f t="shared" si="36"/>
        <v>7366.5729166666797</v>
      </c>
      <c r="I147" s="860">
        <f t="shared" si="37"/>
        <v>2437.6395833333499</v>
      </c>
      <c r="J147" s="860">
        <f t="shared" si="38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860">
        <v>0</v>
      </c>
      <c r="H148" s="860">
        <f t="shared" si="36"/>
        <v>7161.1770833333303</v>
      </c>
      <c r="I148" s="860">
        <f t="shared" si="37"/>
        <v>7161.1770833333303</v>
      </c>
      <c r="J148" s="860">
        <f t="shared" si="38"/>
        <v>85934.124999999898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860">
        <v>0</v>
      </c>
      <c r="H149" s="860">
        <f t="shared" si="36"/>
        <v>6955.78125</v>
      </c>
      <c r="I149" s="860">
        <f t="shared" si="37"/>
        <v>6955.78125</v>
      </c>
      <c r="J149" s="860">
        <f t="shared" si="38"/>
        <v>83469.375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860">
        <v>4928.9333333333298</v>
      </c>
      <c r="H150" s="860">
        <f t="shared" si="36"/>
        <v>6955.78125</v>
      </c>
      <c r="I150" s="860">
        <f t="shared" si="37"/>
        <v>2026.84791666667</v>
      </c>
      <c r="J150" s="860">
        <f t="shared" si="38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860">
        <v>0</v>
      </c>
      <c r="H151" s="860">
        <f t="shared" si="36"/>
        <v>7161.1770833333303</v>
      </c>
      <c r="I151" s="860">
        <f t="shared" si="37"/>
        <v>7161.1770833333303</v>
      </c>
      <c r="J151" s="860">
        <f t="shared" si="38"/>
        <v>85934.124999999898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860">
        <v>0</v>
      </c>
      <c r="H152" s="860">
        <f t="shared" si="36"/>
        <v>6154.2791666666799</v>
      </c>
      <c r="I152" s="860">
        <f t="shared" si="37"/>
        <v>6154.2791666666799</v>
      </c>
      <c r="J152" s="860">
        <f t="shared" si="38"/>
        <v>73851.350000000093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860">
        <v>0</v>
      </c>
      <c r="H153" s="860">
        <f t="shared" si="36"/>
        <v>5566.8645833333203</v>
      </c>
      <c r="I153" s="860">
        <f t="shared" si="37"/>
        <v>5566.8645833333203</v>
      </c>
      <c r="J153" s="860">
        <f t="shared" si="38"/>
        <v>66802.374999999898</v>
      </c>
    </row>
    <row r="154" spans="1:10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308901.5</v>
      </c>
      <c r="G154" s="860">
        <v>0</v>
      </c>
      <c r="H154" s="860">
        <f t="shared" si="36"/>
        <v>7722.5375000000004</v>
      </c>
      <c r="I154" s="860">
        <f t="shared" si="37"/>
        <v>7722.5375000000004</v>
      </c>
      <c r="J154" s="860">
        <f t="shared" si="38"/>
        <v>92670.45</v>
      </c>
    </row>
    <row r="155" spans="1:10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860">
        <v>0</v>
      </c>
      <c r="H155" s="860">
        <f t="shared" si="36"/>
        <v>5690.3937500000002</v>
      </c>
      <c r="I155" s="860">
        <f t="shared" si="37"/>
        <v>5690.3937500000002</v>
      </c>
      <c r="J155" s="860">
        <f t="shared" si="38"/>
        <v>68284.725000000006</v>
      </c>
    </row>
    <row r="156" spans="1:10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308901.5</v>
      </c>
      <c r="G156" s="860">
        <v>4123.4208333333299</v>
      </c>
      <c r="H156" s="860">
        <f t="shared" si="36"/>
        <v>7722.5375000000004</v>
      </c>
      <c r="I156" s="860">
        <f t="shared" si="37"/>
        <v>3599.11666666667</v>
      </c>
      <c r="J156" s="860">
        <f t="shared" si="38"/>
        <v>92670.45</v>
      </c>
    </row>
    <row r="157" spans="1:10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860">
        <v>0</v>
      </c>
      <c r="H157" s="860">
        <f t="shared" ref="H157:H176" si="39">0.025*F157</f>
        <v>5690.3937500000002</v>
      </c>
      <c r="I157" s="860">
        <f t="shared" si="37"/>
        <v>5690.3937500000002</v>
      </c>
      <c r="J157" s="860">
        <f t="shared" si="38"/>
        <v>68284.725000000006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860">
        <v>0</v>
      </c>
      <c r="H158" s="860">
        <f t="shared" si="39"/>
        <v>5443.3354166666804</v>
      </c>
      <c r="I158" s="860">
        <f t="shared" si="37"/>
        <v>5443.3354166666804</v>
      </c>
      <c r="J158" s="860">
        <f t="shared" si="38"/>
        <v>65320.025000000103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860">
        <v>0</v>
      </c>
      <c r="H159" s="860">
        <f t="shared" si="39"/>
        <v>5443.3354166666804</v>
      </c>
      <c r="I159" s="860">
        <f t="shared" si="37"/>
        <v>5443.3354166666804</v>
      </c>
      <c r="J159" s="860">
        <f t="shared" si="38"/>
        <v>65320.025000000103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860">
        <v>0</v>
      </c>
      <c r="H160" s="860">
        <f t="shared" si="39"/>
        <v>4909.1104166666801</v>
      </c>
      <c r="I160" s="860">
        <f t="shared" si="37"/>
        <v>4909.1104166666801</v>
      </c>
      <c r="J160" s="860">
        <f t="shared" si="38"/>
        <v>58909.325000000099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860">
        <v>0</v>
      </c>
      <c r="H161" s="860">
        <f t="shared" si="39"/>
        <v>4909.1104166666801</v>
      </c>
      <c r="I161" s="860">
        <f t="shared" si="37"/>
        <v>4909.1104166666801</v>
      </c>
      <c r="J161" s="860">
        <f t="shared" si="38"/>
        <v>58909.325000000099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860">
        <v>0</v>
      </c>
      <c r="H162" s="860">
        <f t="shared" si="39"/>
        <v>4909.1104166666801</v>
      </c>
      <c r="I162" s="860">
        <f t="shared" si="37"/>
        <v>4909.1104166666801</v>
      </c>
      <c r="J162" s="860">
        <f t="shared" si="38"/>
        <v>58909.325000000099</v>
      </c>
    </row>
    <row r="163" spans="1:10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860">
        <v>0</v>
      </c>
      <c r="H163" s="860">
        <f t="shared" si="39"/>
        <v>5013.7354166666801</v>
      </c>
      <c r="I163" s="860">
        <f t="shared" si="37"/>
        <v>5013.7354166666801</v>
      </c>
      <c r="J163" s="860">
        <f t="shared" si="38"/>
        <v>60164.825000000099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860">
        <v>0</v>
      </c>
      <c r="H164" s="860">
        <f t="shared" si="39"/>
        <v>4909.1104166666801</v>
      </c>
      <c r="I164" s="860">
        <f t="shared" si="37"/>
        <v>4909.1104166666801</v>
      </c>
      <c r="J164" s="860">
        <f t="shared" si="38"/>
        <v>58909.325000000099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860"/>
      <c r="H165" s="860">
        <f t="shared" si="39"/>
        <v>4804.4854166666801</v>
      </c>
      <c r="I165" s="860">
        <f t="shared" si="37"/>
        <v>4804.4854166666801</v>
      </c>
      <c r="J165" s="860">
        <f t="shared" si="38"/>
        <v>57653.825000000099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860"/>
      <c r="H166" s="860">
        <f t="shared" si="39"/>
        <v>4804.4854166666801</v>
      </c>
      <c r="I166" s="860">
        <f t="shared" si="37"/>
        <v>4804.4854166666801</v>
      </c>
      <c r="J166" s="860">
        <f t="shared" si="38"/>
        <v>57653.825000000099</v>
      </c>
    </row>
    <row r="167" spans="1:10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860">
        <v>2313.5749999999998</v>
      </c>
      <c r="H167" s="860">
        <f t="shared" si="39"/>
        <v>3982.2145833333302</v>
      </c>
      <c r="I167" s="860">
        <f t="shared" si="37"/>
        <v>1668.6395833333299</v>
      </c>
      <c r="J167" s="860">
        <f t="shared" si="38"/>
        <v>47786.574999999903</v>
      </c>
    </row>
    <row r="168" spans="1:10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860">
        <v>0</v>
      </c>
      <c r="H168" s="860">
        <f t="shared" si="39"/>
        <v>3982.2145833333302</v>
      </c>
      <c r="I168" s="860">
        <f t="shared" si="37"/>
        <v>3982.2145833333302</v>
      </c>
      <c r="J168" s="860">
        <f t="shared" si="38"/>
        <v>47786.574999999903</v>
      </c>
    </row>
    <row r="169" spans="1:10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860">
        <v>0</v>
      </c>
      <c r="H169" s="860">
        <f t="shared" si="39"/>
        <v>3982.2145833333302</v>
      </c>
      <c r="I169" s="860">
        <f t="shared" si="37"/>
        <v>3982.2145833333302</v>
      </c>
      <c r="J169" s="860">
        <f t="shared" si="38"/>
        <v>47786.574999999903</v>
      </c>
    </row>
    <row r="170" spans="1:10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860">
        <v>2313.5749999999998</v>
      </c>
      <c r="H170" s="860">
        <f t="shared" si="39"/>
        <v>3982.2145833333302</v>
      </c>
      <c r="I170" s="860">
        <f t="shared" si="37"/>
        <v>1668.6395833333299</v>
      </c>
      <c r="J170" s="860">
        <f t="shared" si="38"/>
        <v>47786.574999999903</v>
      </c>
    </row>
    <row r="171" spans="1:10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860"/>
      <c r="H171" s="860">
        <f t="shared" si="39"/>
        <v>3982.2145833333302</v>
      </c>
      <c r="I171" s="860">
        <f t="shared" si="37"/>
        <v>3982.2145833333302</v>
      </c>
      <c r="J171" s="860">
        <f t="shared" si="38"/>
        <v>47786.574999999903</v>
      </c>
    </row>
    <row r="172" spans="1:10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860"/>
      <c r="H172" s="860">
        <f t="shared" si="39"/>
        <v>3891.9666666666799</v>
      </c>
      <c r="I172" s="860">
        <f t="shared" si="37"/>
        <v>3891.9666666666799</v>
      </c>
      <c r="J172" s="860">
        <f t="shared" si="38"/>
        <v>46703.6000000001</v>
      </c>
    </row>
    <row r="173" spans="1:10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860"/>
      <c r="H173" s="860">
        <f t="shared" si="39"/>
        <v>3891.9666666666799</v>
      </c>
      <c r="I173" s="860">
        <f t="shared" si="37"/>
        <v>3891.9666666666799</v>
      </c>
      <c r="J173" s="860">
        <f t="shared" si="38"/>
        <v>46703.6000000001</v>
      </c>
    </row>
    <row r="174" spans="1:10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860"/>
      <c r="H174" s="860">
        <f t="shared" si="39"/>
        <v>3891.9666666666799</v>
      </c>
      <c r="I174" s="860">
        <f t="shared" si="37"/>
        <v>3891.9666666666799</v>
      </c>
      <c r="J174" s="860">
        <f t="shared" si="38"/>
        <v>46703.6000000001</v>
      </c>
    </row>
    <row r="175" spans="1:10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860"/>
      <c r="H175" s="860">
        <f t="shared" si="39"/>
        <v>3891.9666666666799</v>
      </c>
      <c r="I175" s="860">
        <f t="shared" si="37"/>
        <v>3891.9666666666799</v>
      </c>
      <c r="J175" s="860">
        <f t="shared" si="38"/>
        <v>46703.6000000001</v>
      </c>
    </row>
    <row r="176" spans="1:10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860"/>
      <c r="H176" s="860">
        <f t="shared" si="39"/>
        <v>3891.9666666666799</v>
      </c>
      <c r="I176" s="860">
        <f t="shared" si="37"/>
        <v>3891.9666666666799</v>
      </c>
      <c r="J176" s="860">
        <f t="shared" si="38"/>
        <v>46703.6000000001</v>
      </c>
    </row>
    <row r="177" spans="1:10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860"/>
      <c r="H177" s="860">
        <f t="shared" ref="H177:H198" si="40">0.025*F177</f>
        <v>3891.9666666666799</v>
      </c>
      <c r="I177" s="860">
        <f t="shared" si="37"/>
        <v>3891.9666666666799</v>
      </c>
      <c r="J177" s="860">
        <f t="shared" si="38"/>
        <v>46703.6000000001</v>
      </c>
    </row>
    <row r="178" spans="1:10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860"/>
      <c r="H178" s="860">
        <f t="shared" si="40"/>
        <v>3711.4749999999999</v>
      </c>
      <c r="I178" s="860">
        <f t="shared" si="37"/>
        <v>3711.4749999999999</v>
      </c>
      <c r="J178" s="860">
        <f t="shared" si="38"/>
        <v>44537.7</v>
      </c>
    </row>
    <row r="179" spans="1:10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860"/>
      <c r="H179" s="860">
        <f t="shared" si="40"/>
        <v>3711.4749999999999</v>
      </c>
      <c r="I179" s="860">
        <f t="shared" si="37"/>
        <v>3711.4749999999999</v>
      </c>
      <c r="J179" s="860">
        <f t="shared" si="38"/>
        <v>44537.7</v>
      </c>
    </row>
    <row r="180" spans="1:10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860"/>
      <c r="H180" s="860">
        <f t="shared" si="40"/>
        <v>3801.7208333333301</v>
      </c>
      <c r="I180" s="860">
        <f t="shared" si="37"/>
        <v>3801.7208333333301</v>
      </c>
      <c r="J180" s="860">
        <f t="shared" si="38"/>
        <v>45620.6499999999</v>
      </c>
    </row>
    <row r="181" spans="1:10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860"/>
      <c r="H181" s="860">
        <f t="shared" si="40"/>
        <v>3621.22708333333</v>
      </c>
      <c r="I181" s="860">
        <f t="shared" si="37"/>
        <v>3621.22708333333</v>
      </c>
      <c r="J181" s="860">
        <f t="shared" si="38"/>
        <v>43454.724999999897</v>
      </c>
    </row>
    <row r="182" spans="1:10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860"/>
      <c r="H182" s="860">
        <f t="shared" si="40"/>
        <v>2526.3312500000002</v>
      </c>
      <c r="I182" s="860">
        <f t="shared" si="37"/>
        <v>2526.3312500000002</v>
      </c>
      <c r="J182" s="860">
        <f t="shared" si="38"/>
        <v>30315.974999999999</v>
      </c>
    </row>
    <row r="183" spans="1:10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860"/>
      <c r="H183" s="860">
        <f t="shared" si="40"/>
        <v>2526.3312500000002</v>
      </c>
      <c r="I183" s="860">
        <f t="shared" si="37"/>
        <v>2526.3312500000002</v>
      </c>
      <c r="J183" s="860">
        <f t="shared" si="38"/>
        <v>30315.974999999999</v>
      </c>
    </row>
    <row r="184" spans="1:10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860"/>
      <c r="H184" s="860">
        <f t="shared" si="40"/>
        <v>2526.3312500000002</v>
      </c>
      <c r="I184" s="860">
        <f t="shared" si="37"/>
        <v>2526.3312500000002</v>
      </c>
      <c r="J184" s="860">
        <f t="shared" si="38"/>
        <v>30315.974999999999</v>
      </c>
    </row>
    <row r="185" spans="1:10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860"/>
      <c r="H185" s="860">
        <f t="shared" si="40"/>
        <v>2526.3312500000002</v>
      </c>
      <c r="I185" s="860">
        <f t="shared" si="37"/>
        <v>2526.3312500000002</v>
      </c>
      <c r="J185" s="860">
        <f t="shared" si="38"/>
        <v>30315.974999999999</v>
      </c>
    </row>
    <row r="186" spans="1:10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860"/>
      <c r="H186" s="860">
        <f t="shared" si="40"/>
        <v>2526.3312500000002</v>
      </c>
      <c r="I186" s="860">
        <f t="shared" si="37"/>
        <v>2526.3312500000002</v>
      </c>
      <c r="J186" s="860">
        <f t="shared" si="38"/>
        <v>30315.974999999999</v>
      </c>
    </row>
    <row r="187" spans="1:10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860"/>
      <c r="H187" s="860">
        <f t="shared" si="40"/>
        <v>2526.3312500000002</v>
      </c>
      <c r="I187" s="860">
        <f t="shared" si="37"/>
        <v>2526.3312500000002</v>
      </c>
      <c r="J187" s="860">
        <f t="shared" si="38"/>
        <v>30315.974999999999</v>
      </c>
    </row>
    <row r="188" spans="1:10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860"/>
      <c r="H188" s="860">
        <f t="shared" si="40"/>
        <v>2526.3312500000002</v>
      </c>
      <c r="I188" s="860">
        <f t="shared" si="37"/>
        <v>2526.3312500000002</v>
      </c>
      <c r="J188" s="860">
        <f t="shared" si="38"/>
        <v>30315.974999999999</v>
      </c>
    </row>
    <row r="189" spans="1:10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860"/>
      <c r="H189" s="860">
        <f t="shared" si="40"/>
        <v>2526.3312500000002</v>
      </c>
      <c r="I189" s="860">
        <f t="shared" si="37"/>
        <v>2526.3312500000002</v>
      </c>
      <c r="J189" s="860">
        <f t="shared" si="38"/>
        <v>30315.974999999999</v>
      </c>
    </row>
    <row r="190" spans="1:10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860"/>
      <c r="H190" s="860">
        <f t="shared" si="40"/>
        <v>2526.3312500000002</v>
      </c>
      <c r="I190" s="860">
        <f t="shared" si="37"/>
        <v>2526.3312500000002</v>
      </c>
      <c r="J190" s="860">
        <f t="shared" si="38"/>
        <v>30315.974999999999</v>
      </c>
    </row>
    <row r="191" spans="1:10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860"/>
      <c r="H191" s="860">
        <f t="shared" si="40"/>
        <v>2487.1729166666701</v>
      </c>
      <c r="I191" s="860">
        <f t="shared" si="37"/>
        <v>2487.1729166666701</v>
      </c>
      <c r="J191" s="860">
        <f t="shared" si="38"/>
        <v>29846.075000000001</v>
      </c>
    </row>
    <row r="192" spans="1:10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860"/>
      <c r="H192" s="860">
        <f t="shared" si="40"/>
        <v>2408.8562499999998</v>
      </c>
      <c r="I192" s="860">
        <f t="shared" si="37"/>
        <v>2408.8562499999998</v>
      </c>
      <c r="J192" s="860">
        <f t="shared" si="38"/>
        <v>28906.275000000001</v>
      </c>
    </row>
    <row r="193" spans="1:10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860"/>
      <c r="H193" s="860">
        <f t="shared" si="40"/>
        <v>2369.7041666666701</v>
      </c>
      <c r="I193" s="860">
        <f t="shared" si="37"/>
        <v>2369.7041666666701</v>
      </c>
      <c r="J193" s="860">
        <f t="shared" si="38"/>
        <v>28436.45</v>
      </c>
    </row>
    <row r="194" spans="1:10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860"/>
      <c r="H194" s="860">
        <f t="shared" si="40"/>
        <v>2289.4562500000002</v>
      </c>
      <c r="I194" s="860">
        <f t="shared" si="37"/>
        <v>2289.4562500000002</v>
      </c>
      <c r="J194" s="860">
        <f t="shared" si="38"/>
        <v>27473.474999999999</v>
      </c>
    </row>
    <row r="195" spans="1:10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860"/>
      <c r="H195" s="860">
        <f t="shared" si="40"/>
        <v>2289.4562500000002</v>
      </c>
      <c r="I195" s="860">
        <f t="shared" si="37"/>
        <v>2289.4562500000002</v>
      </c>
      <c r="J195" s="860">
        <f t="shared" si="38"/>
        <v>27473.474999999999</v>
      </c>
    </row>
    <row r="196" spans="1:10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860"/>
      <c r="H196" s="860">
        <f t="shared" si="40"/>
        <v>2289.4562500000002</v>
      </c>
      <c r="I196" s="860">
        <f t="shared" si="37"/>
        <v>2289.4562500000002</v>
      </c>
      <c r="J196" s="860">
        <f t="shared" si="38"/>
        <v>27473.474999999999</v>
      </c>
    </row>
    <row r="197" spans="1:10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860"/>
      <c r="H197" s="860">
        <f t="shared" si="40"/>
        <v>2448.0166666666701</v>
      </c>
      <c r="I197" s="860">
        <f t="shared" si="37"/>
        <v>2448.0166666666701</v>
      </c>
      <c r="J197" s="860">
        <f t="shared" si="38"/>
        <v>29376.2</v>
      </c>
    </row>
    <row r="198" spans="1:10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860"/>
      <c r="H198" s="860">
        <f t="shared" si="40"/>
        <v>2448.0166666666701</v>
      </c>
      <c r="I198" s="860">
        <f t="shared" si="37"/>
        <v>2448.0166666666701</v>
      </c>
      <c r="J198" s="860">
        <f t="shared" si="38"/>
        <v>29376.2</v>
      </c>
    </row>
    <row r="199" spans="1:10" ht="30.75" customHeight="1">
      <c r="A199" s="25"/>
      <c r="B199" s="6" t="s">
        <v>120</v>
      </c>
      <c r="C199" s="26" t="s">
        <v>646</v>
      </c>
      <c r="D199" s="27"/>
      <c r="E199" s="78">
        <f t="shared" ref="E199:J199" si="41">SUM(E139:E198)</f>
        <v>14787756.9166667</v>
      </c>
      <c r="F199" s="856">
        <f t="shared" si="41"/>
        <v>12563688.5</v>
      </c>
      <c r="G199" s="78">
        <f t="shared" si="41"/>
        <v>72300.491666666698</v>
      </c>
      <c r="H199" s="78">
        <f t="shared" si="41"/>
        <v>314092.21250000002</v>
      </c>
      <c r="I199" s="78">
        <f t="shared" si="41"/>
        <v>241791.72083333301</v>
      </c>
      <c r="J199" s="78">
        <f t="shared" si="41"/>
        <v>3769106.55</v>
      </c>
    </row>
    <row r="200" spans="1:10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J200" si="42">E199+E136+E123+E118+E112+E102+E94+E81+E72+E62+E57+E46+E39</f>
        <v>62694852.333666697</v>
      </c>
      <c r="F200" s="867">
        <f t="shared" si="42"/>
        <v>49444664.75</v>
      </c>
      <c r="G200" s="193">
        <f t="shared" si="42"/>
        <v>267480.25624999998</v>
      </c>
      <c r="H200" s="193">
        <f t="shared" si="42"/>
        <v>1181213.7166666701</v>
      </c>
      <c r="I200" s="868">
        <f t="shared" si="42"/>
        <v>913733.460416666</v>
      </c>
      <c r="J200" s="193">
        <f t="shared" si="42"/>
        <v>9377520.0500000007</v>
      </c>
    </row>
    <row r="201" spans="1:10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649</v>
      </c>
      <c r="C202" s="29">
        <f>SUM(C200:C201)</f>
        <v>175</v>
      </c>
      <c r="D202" s="30"/>
      <c r="E202" s="193">
        <f t="shared" ref="E202:J202" si="43">E200+E201</f>
        <v>69258581.583666697</v>
      </c>
      <c r="F202" s="193">
        <f t="shared" si="43"/>
        <v>54790759.583333299</v>
      </c>
      <c r="G202" s="193">
        <f t="shared" si="43"/>
        <v>267480.25624999998</v>
      </c>
      <c r="H202" s="193">
        <f t="shared" si="43"/>
        <v>1181213.7166666701</v>
      </c>
      <c r="I202" s="193">
        <f t="shared" si="43"/>
        <v>913733.460416666</v>
      </c>
      <c r="J202" s="193">
        <f t="shared" si="43"/>
        <v>9377520.0500000007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42"/>
  <sheetViews>
    <sheetView view="pageBreakPreview" zoomScaleNormal="100" workbookViewId="0">
      <selection activeCell="N4" sqref="N4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156" t="s">
        <v>518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</row>
    <row r="2" spans="1:11" ht="18.75">
      <c r="A2" s="1156" t="s">
        <v>650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50"/>
      <c r="J3" s="950"/>
      <c r="K3" s="950"/>
    </row>
    <row r="4" spans="1:11" ht="41.1" customHeight="1">
      <c r="A4" s="703" t="s">
        <v>520</v>
      </c>
      <c r="B4" s="931" t="s">
        <v>521</v>
      </c>
      <c r="C4" s="931" t="s">
        <v>522</v>
      </c>
      <c r="D4" s="931" t="s">
        <v>523</v>
      </c>
      <c r="E4" s="931" t="s">
        <v>524</v>
      </c>
      <c r="F4" s="931" t="s">
        <v>651</v>
      </c>
      <c r="G4" s="931" t="s">
        <v>652</v>
      </c>
      <c r="H4" s="931" t="s">
        <v>527</v>
      </c>
      <c r="I4" s="931" t="s">
        <v>528</v>
      </c>
      <c r="J4" s="931" t="s">
        <v>529</v>
      </c>
      <c r="K4" s="931" t="s">
        <v>530</v>
      </c>
    </row>
    <row r="5" spans="1:11" ht="14.25">
      <c r="A5" s="703"/>
      <c r="B5" s="939"/>
      <c r="C5" s="940"/>
      <c r="D5" s="940"/>
      <c r="E5" s="940"/>
      <c r="F5" s="941" t="s">
        <v>21</v>
      </c>
      <c r="G5" s="941" t="s">
        <v>21</v>
      </c>
      <c r="H5" s="941" t="s">
        <v>21</v>
      </c>
      <c r="I5" s="941"/>
      <c r="J5" s="941"/>
      <c r="K5" s="941" t="s">
        <v>21</v>
      </c>
    </row>
    <row r="6" spans="1:11" ht="30" customHeight="1">
      <c r="A6" s="709">
        <v>1</v>
      </c>
      <c r="B6" s="942" t="s">
        <v>680</v>
      </c>
      <c r="C6" s="943" t="s">
        <v>681</v>
      </c>
      <c r="D6" s="944" t="s">
        <v>682</v>
      </c>
      <c r="E6" s="942" t="s">
        <v>683</v>
      </c>
      <c r="F6" s="945">
        <v>659657</v>
      </c>
      <c r="G6" s="945">
        <v>780713.91666666605</v>
      </c>
      <c r="H6" s="945">
        <f>G6-F6</f>
        <v>121056.916666666</v>
      </c>
      <c r="I6" s="776" t="s">
        <v>684</v>
      </c>
      <c r="J6" s="951">
        <f>14/30</f>
        <v>0.46666666666666701</v>
      </c>
      <c r="K6" s="945">
        <f>J6*H6</f>
        <v>56493.227777777502</v>
      </c>
    </row>
    <row r="7" spans="1:11" ht="30" customHeight="1">
      <c r="A7" s="709">
        <v>2</v>
      </c>
      <c r="B7" s="942" t="s">
        <v>685</v>
      </c>
      <c r="C7" s="943" t="s">
        <v>686</v>
      </c>
      <c r="D7" s="946" t="s">
        <v>682</v>
      </c>
      <c r="E7" s="942" t="s">
        <v>683</v>
      </c>
      <c r="F7" s="945">
        <v>659657</v>
      </c>
      <c r="G7" s="945">
        <v>780713.91666666605</v>
      </c>
      <c r="H7" s="945">
        <f t="shared" ref="H7:H31" si="0">G7-F7</f>
        <v>121056.916666666</v>
      </c>
      <c r="I7" s="776" t="s">
        <v>684</v>
      </c>
      <c r="J7" s="951">
        <f>14/30</f>
        <v>0.46666666666666701</v>
      </c>
      <c r="K7" s="945">
        <f t="shared" ref="K7:K31" si="1">J7*H7</f>
        <v>56493.227777777502</v>
      </c>
    </row>
    <row r="8" spans="1:11" ht="30" customHeight="1">
      <c r="A8" s="709">
        <v>3</v>
      </c>
      <c r="B8" s="942" t="s">
        <v>687</v>
      </c>
      <c r="C8" s="943" t="s">
        <v>456</v>
      </c>
      <c r="D8" s="946" t="s">
        <v>688</v>
      </c>
      <c r="E8" s="942" t="s">
        <v>689</v>
      </c>
      <c r="F8" s="945">
        <v>661351.33333333302</v>
      </c>
      <c r="G8" s="945">
        <f>542419.5+140000</f>
        <v>682419.5</v>
      </c>
      <c r="H8" s="945">
        <f t="shared" si="0"/>
        <v>21068.166666666999</v>
      </c>
      <c r="I8" s="943" t="s">
        <v>690</v>
      </c>
      <c r="J8" s="951">
        <f>2+(19/31)</f>
        <v>2.6129032258064502</v>
      </c>
      <c r="K8" s="945">
        <f t="shared" si="1"/>
        <v>55049.080645162103</v>
      </c>
    </row>
    <row r="9" spans="1:11" ht="30" customHeight="1">
      <c r="A9" s="709">
        <v>4</v>
      </c>
      <c r="B9" s="942" t="s">
        <v>691</v>
      </c>
      <c r="C9" s="943" t="s">
        <v>692</v>
      </c>
      <c r="D9" s="947" t="s">
        <v>693</v>
      </c>
      <c r="E9" s="942" t="s">
        <v>694</v>
      </c>
      <c r="F9" s="945">
        <f>692662.666666667</f>
        <v>692662.66666666698</v>
      </c>
      <c r="G9" s="945">
        <f>552846.583333333+150000</f>
        <v>702846.58333333302</v>
      </c>
      <c r="H9" s="945">
        <f t="shared" si="0"/>
        <v>10183.916666666</v>
      </c>
      <c r="I9" s="776" t="s">
        <v>657</v>
      </c>
      <c r="J9" s="951">
        <f t="shared" ref="J9:J12" si="2">1+(26/31)</f>
        <v>1.8387096774193501</v>
      </c>
      <c r="K9" s="945">
        <f t="shared" si="1"/>
        <v>18725.266129031101</v>
      </c>
    </row>
    <row r="10" spans="1:11" ht="30" customHeight="1">
      <c r="A10" s="709">
        <v>5</v>
      </c>
      <c r="B10" s="774" t="s">
        <v>695</v>
      </c>
      <c r="C10" s="943" t="s">
        <v>696</v>
      </c>
      <c r="D10" s="947" t="s">
        <v>693</v>
      </c>
      <c r="E10" s="942" t="s">
        <v>694</v>
      </c>
      <c r="F10" s="945">
        <v>542662.66666666698</v>
      </c>
      <c r="G10" s="945">
        <v>552846.58333333302</v>
      </c>
      <c r="H10" s="945">
        <f t="shared" si="0"/>
        <v>10183.916666666</v>
      </c>
      <c r="I10" s="708" t="s">
        <v>697</v>
      </c>
      <c r="J10" s="951">
        <f>2+(23/31)</f>
        <v>2.7419354838709702</v>
      </c>
      <c r="K10" s="945">
        <f t="shared" si="1"/>
        <v>27923.642473116601</v>
      </c>
    </row>
    <row r="11" spans="1:11" ht="30" customHeight="1">
      <c r="A11" s="709">
        <v>6</v>
      </c>
      <c r="B11" s="942" t="s">
        <v>698</v>
      </c>
      <c r="C11" s="943" t="s">
        <v>699</v>
      </c>
      <c r="D11" s="946" t="s">
        <v>693</v>
      </c>
      <c r="E11" s="942" t="s">
        <v>694</v>
      </c>
      <c r="F11" s="945">
        <v>542662.66666666698</v>
      </c>
      <c r="G11" s="945">
        <v>552846.58333333302</v>
      </c>
      <c r="H11" s="945">
        <f t="shared" si="0"/>
        <v>10183.916666666</v>
      </c>
      <c r="I11" s="776" t="s">
        <v>657</v>
      </c>
      <c r="J11" s="951">
        <f t="shared" si="2"/>
        <v>1.8387096774193501</v>
      </c>
      <c r="K11" s="945">
        <f t="shared" si="1"/>
        <v>18725.266129031101</v>
      </c>
    </row>
    <row r="12" spans="1:11" ht="30" customHeight="1">
      <c r="A12" s="709">
        <v>7</v>
      </c>
      <c r="B12" s="942" t="s">
        <v>700</v>
      </c>
      <c r="C12" s="943" t="s">
        <v>701</v>
      </c>
      <c r="D12" s="946" t="s">
        <v>702</v>
      </c>
      <c r="E12" s="942" t="s">
        <v>703</v>
      </c>
      <c r="F12" s="945">
        <f>806497.166666667</f>
        <v>806497.16666666698</v>
      </c>
      <c r="G12" s="945">
        <f>567472.75+250000</f>
        <v>817472.75</v>
      </c>
      <c r="H12" s="945">
        <f t="shared" si="0"/>
        <v>10975.583333332999</v>
      </c>
      <c r="I12" s="776" t="s">
        <v>657</v>
      </c>
      <c r="J12" s="951">
        <f t="shared" si="2"/>
        <v>1.8387096774193501</v>
      </c>
      <c r="K12" s="945">
        <f t="shared" si="1"/>
        <v>20180.911290322001</v>
      </c>
    </row>
    <row r="13" spans="1:11" ht="30" customHeight="1">
      <c r="A13" s="709">
        <v>8</v>
      </c>
      <c r="B13" s="942" t="s">
        <v>704</v>
      </c>
      <c r="C13" s="943" t="s">
        <v>705</v>
      </c>
      <c r="D13" s="946" t="s">
        <v>693</v>
      </c>
      <c r="E13" s="942" t="s">
        <v>694</v>
      </c>
      <c r="F13" s="945">
        <v>592662.66666666698</v>
      </c>
      <c r="G13" s="945">
        <v>602846.58333333302</v>
      </c>
      <c r="H13" s="945">
        <f t="shared" si="0"/>
        <v>10183.916666666</v>
      </c>
      <c r="I13" s="776" t="s">
        <v>706</v>
      </c>
      <c r="J13" s="951">
        <f>1+23/31</f>
        <v>1.74193548387097</v>
      </c>
      <c r="K13" s="945">
        <f t="shared" si="1"/>
        <v>17739.725806450599</v>
      </c>
    </row>
    <row r="14" spans="1:11" ht="30" customHeight="1">
      <c r="A14" s="709">
        <v>9</v>
      </c>
      <c r="B14" s="942" t="s">
        <v>707</v>
      </c>
      <c r="C14" s="943" t="s">
        <v>708</v>
      </c>
      <c r="D14" s="946" t="s">
        <v>709</v>
      </c>
      <c r="E14" s="942" t="s">
        <v>539</v>
      </c>
      <c r="F14" s="945">
        <v>459131.16666666698</v>
      </c>
      <c r="G14" s="945">
        <v>501159</v>
      </c>
      <c r="H14" s="945">
        <f t="shared" si="0"/>
        <v>42027.833333333001</v>
      </c>
      <c r="I14" s="943" t="s">
        <v>710</v>
      </c>
      <c r="J14" s="951">
        <v>3</v>
      </c>
      <c r="K14" s="945">
        <f t="shared" si="1"/>
        <v>126083.499999999</v>
      </c>
    </row>
    <row r="15" spans="1:11" ht="30" customHeight="1">
      <c r="A15" s="709">
        <v>10</v>
      </c>
      <c r="B15" s="942" t="s">
        <v>711</v>
      </c>
      <c r="C15" s="943" t="s">
        <v>712</v>
      </c>
      <c r="D15" s="947" t="s">
        <v>713</v>
      </c>
      <c r="E15" s="942" t="s">
        <v>539</v>
      </c>
      <c r="F15" s="945">
        <v>450135.83333333401</v>
      </c>
      <c r="G15" s="945">
        <v>501159</v>
      </c>
      <c r="H15" s="945">
        <f t="shared" si="0"/>
        <v>51023.166666666002</v>
      </c>
      <c r="I15" s="943" t="s">
        <v>714</v>
      </c>
      <c r="J15" s="951">
        <f>3+(1/30)</f>
        <v>3.0333333333333301</v>
      </c>
      <c r="K15" s="945">
        <f t="shared" si="1"/>
        <v>154770.27222222</v>
      </c>
    </row>
    <row r="16" spans="1:11" ht="30" customHeight="1">
      <c r="A16" s="709">
        <v>11</v>
      </c>
      <c r="B16" s="942" t="s">
        <v>715</v>
      </c>
      <c r="C16" s="943" t="s">
        <v>716</v>
      </c>
      <c r="D16" s="946" t="s">
        <v>709</v>
      </c>
      <c r="E16" s="942" t="s">
        <v>539</v>
      </c>
      <c r="F16" s="945">
        <v>459131.16666666698</v>
      </c>
      <c r="G16" s="945">
        <v>501159</v>
      </c>
      <c r="H16" s="945">
        <f t="shared" si="0"/>
        <v>42027.833333333001</v>
      </c>
      <c r="I16" s="776" t="s">
        <v>717</v>
      </c>
      <c r="J16" s="951">
        <f>28/30</f>
        <v>0.93333333333333302</v>
      </c>
      <c r="K16" s="945">
        <f t="shared" si="1"/>
        <v>39225.977777777502</v>
      </c>
    </row>
    <row r="17" spans="1:11" ht="30" customHeight="1">
      <c r="A17" s="709">
        <v>12</v>
      </c>
      <c r="B17" s="942" t="s">
        <v>718</v>
      </c>
      <c r="C17" s="943" t="s">
        <v>681</v>
      </c>
      <c r="D17" s="947" t="s">
        <v>719</v>
      </c>
      <c r="E17" s="942" t="s">
        <v>656</v>
      </c>
      <c r="F17" s="945">
        <v>398711.66666666698</v>
      </c>
      <c r="G17" s="945">
        <v>432145.33333333302</v>
      </c>
      <c r="H17" s="945">
        <f t="shared" si="0"/>
        <v>33433.666666666002</v>
      </c>
      <c r="I17" s="776" t="s">
        <v>720</v>
      </c>
      <c r="J17" s="951">
        <f>1+(18/31)</f>
        <v>1.5806451612903201</v>
      </c>
      <c r="K17" s="945">
        <f t="shared" si="1"/>
        <v>52846.763440859097</v>
      </c>
    </row>
    <row r="18" spans="1:11" ht="30" customHeight="1">
      <c r="A18" s="709">
        <v>13</v>
      </c>
      <c r="B18" s="942" t="s">
        <v>721</v>
      </c>
      <c r="C18" s="943" t="s">
        <v>686</v>
      </c>
      <c r="D18" s="947" t="s">
        <v>655</v>
      </c>
      <c r="E18" s="942" t="s">
        <v>656</v>
      </c>
      <c r="F18" s="945">
        <v>415320.66666666698</v>
      </c>
      <c r="G18" s="945">
        <v>432145.33333333302</v>
      </c>
      <c r="H18" s="945">
        <f t="shared" si="0"/>
        <v>16824.666666665998</v>
      </c>
      <c r="I18" s="776" t="s">
        <v>722</v>
      </c>
      <c r="J18" s="951">
        <f t="shared" ref="J18:J23" si="3">2+(3/31)</f>
        <v>2.0967741935483901</v>
      </c>
      <c r="K18" s="945">
        <f t="shared" si="1"/>
        <v>35277.526881719197</v>
      </c>
    </row>
    <row r="19" spans="1:11" ht="30" customHeight="1">
      <c r="A19" s="709">
        <v>14</v>
      </c>
      <c r="B19" s="942" t="s">
        <v>723</v>
      </c>
      <c r="C19" s="943" t="s">
        <v>724</v>
      </c>
      <c r="D19" s="947" t="s">
        <v>655</v>
      </c>
      <c r="E19" s="942" t="s">
        <v>656</v>
      </c>
      <c r="F19" s="945">
        <v>415320.66666666698</v>
      </c>
      <c r="G19" s="945">
        <v>432145.33333333302</v>
      </c>
      <c r="H19" s="945">
        <f t="shared" si="0"/>
        <v>16824.666666665998</v>
      </c>
      <c r="I19" s="776" t="s">
        <v>706</v>
      </c>
      <c r="J19" s="951">
        <f>1+23/31</f>
        <v>1.74193548387097</v>
      </c>
      <c r="K19" s="945">
        <f t="shared" si="1"/>
        <v>29307.483870966698</v>
      </c>
    </row>
    <row r="20" spans="1:11" ht="30" customHeight="1">
      <c r="A20" s="709">
        <v>15</v>
      </c>
      <c r="B20" s="942" t="s">
        <v>725</v>
      </c>
      <c r="C20" s="943" t="s">
        <v>546</v>
      </c>
      <c r="D20" s="947" t="s">
        <v>655</v>
      </c>
      <c r="E20" s="942" t="s">
        <v>656</v>
      </c>
      <c r="F20" s="945">
        <v>415320.66666666698</v>
      </c>
      <c r="G20" s="945">
        <v>432145.33333333302</v>
      </c>
      <c r="H20" s="945">
        <f t="shared" si="0"/>
        <v>16824.666666665998</v>
      </c>
      <c r="I20" s="776" t="s">
        <v>726</v>
      </c>
      <c r="J20" s="951">
        <f>2+(29/31)</f>
        <v>2.9354838709677402</v>
      </c>
      <c r="K20" s="945">
        <f t="shared" si="1"/>
        <v>49388.537634406697</v>
      </c>
    </row>
    <row r="21" spans="1:11" ht="30" customHeight="1">
      <c r="A21" s="709">
        <v>16</v>
      </c>
      <c r="B21" s="942" t="s">
        <v>727</v>
      </c>
      <c r="C21" s="943" t="s">
        <v>728</v>
      </c>
      <c r="D21" s="947" t="s">
        <v>655</v>
      </c>
      <c r="E21" s="942" t="s">
        <v>656</v>
      </c>
      <c r="F21" s="945">
        <v>455320.66666666698</v>
      </c>
      <c r="G21" s="945">
        <f>432145.333333333+50000</f>
        <v>482145.33333333302</v>
      </c>
      <c r="H21" s="945">
        <f t="shared" si="0"/>
        <v>26824.666666665998</v>
      </c>
      <c r="I21" s="943" t="s">
        <v>729</v>
      </c>
      <c r="J21" s="951">
        <f>7+(15/28)</f>
        <v>7.53571428571429</v>
      </c>
      <c r="K21" s="945">
        <f t="shared" si="1"/>
        <v>202143.02380951901</v>
      </c>
    </row>
    <row r="22" spans="1:11" ht="30" customHeight="1">
      <c r="A22" s="709">
        <v>17</v>
      </c>
      <c r="B22" s="942" t="s">
        <v>730</v>
      </c>
      <c r="C22" s="943" t="s">
        <v>731</v>
      </c>
      <c r="D22" s="947" t="s">
        <v>719</v>
      </c>
      <c r="E22" s="942" t="s">
        <v>656</v>
      </c>
      <c r="F22" s="945">
        <v>398711.66666666698</v>
      </c>
      <c r="G22" s="945">
        <v>432145.33333333302</v>
      </c>
      <c r="H22" s="945">
        <f t="shared" si="0"/>
        <v>33433.666666666002</v>
      </c>
      <c r="I22" s="776" t="s">
        <v>722</v>
      </c>
      <c r="J22" s="951">
        <f t="shared" si="3"/>
        <v>2.0967741935483901</v>
      </c>
      <c r="K22" s="945">
        <f t="shared" si="1"/>
        <v>70102.849462364393</v>
      </c>
    </row>
    <row r="23" spans="1:11" ht="30" customHeight="1">
      <c r="A23" s="709">
        <v>18</v>
      </c>
      <c r="B23" s="942" t="s">
        <v>732</v>
      </c>
      <c r="C23" s="943" t="s">
        <v>733</v>
      </c>
      <c r="D23" s="947" t="s">
        <v>655</v>
      </c>
      <c r="E23" s="942" t="s">
        <v>656</v>
      </c>
      <c r="F23" s="945">
        <v>415320.66666666698</v>
      </c>
      <c r="G23" s="945">
        <v>432145.33333333302</v>
      </c>
      <c r="H23" s="945">
        <f t="shared" si="0"/>
        <v>16824.666666665998</v>
      </c>
      <c r="I23" s="776" t="s">
        <v>722</v>
      </c>
      <c r="J23" s="951">
        <f t="shared" si="3"/>
        <v>2.0967741935483901</v>
      </c>
      <c r="K23" s="945">
        <f t="shared" si="1"/>
        <v>35277.526881719197</v>
      </c>
    </row>
    <row r="24" spans="1:11" ht="30" customHeight="1">
      <c r="A24" s="709">
        <v>19</v>
      </c>
      <c r="B24" s="942" t="s">
        <v>734</v>
      </c>
      <c r="C24" s="943" t="s">
        <v>681</v>
      </c>
      <c r="D24" s="946" t="s">
        <v>735</v>
      </c>
      <c r="E24" s="942" t="s">
        <v>543</v>
      </c>
      <c r="F24" s="945">
        <v>0</v>
      </c>
      <c r="G24" s="945">
        <v>0</v>
      </c>
      <c r="H24" s="945">
        <f t="shared" si="0"/>
        <v>0</v>
      </c>
      <c r="I24" s="943" t="s">
        <v>729</v>
      </c>
      <c r="J24" s="951">
        <v>0</v>
      </c>
      <c r="K24" s="945">
        <f t="shared" si="1"/>
        <v>0</v>
      </c>
    </row>
    <row r="25" spans="1:11" ht="30" customHeight="1">
      <c r="A25" s="709">
        <v>20</v>
      </c>
      <c r="B25" s="942" t="s">
        <v>736</v>
      </c>
      <c r="C25" s="943" t="s">
        <v>546</v>
      </c>
      <c r="D25" s="946" t="s">
        <v>737</v>
      </c>
      <c r="E25" s="942" t="s">
        <v>543</v>
      </c>
      <c r="F25" s="945">
        <v>358920.66666666698</v>
      </c>
      <c r="G25" s="945">
        <v>390407.08333333302</v>
      </c>
      <c r="H25" s="945">
        <f t="shared" si="0"/>
        <v>31486.416666665998</v>
      </c>
      <c r="I25" s="776" t="s">
        <v>722</v>
      </c>
      <c r="J25" s="951">
        <v>2.0967741935483901</v>
      </c>
      <c r="K25" s="945">
        <f t="shared" si="1"/>
        <v>66019.905913977302</v>
      </c>
    </row>
    <row r="26" spans="1:11" ht="30" customHeight="1">
      <c r="A26" s="709">
        <v>21</v>
      </c>
      <c r="B26" s="942" t="s">
        <v>738</v>
      </c>
      <c r="C26" s="943" t="s">
        <v>681</v>
      </c>
      <c r="D26" s="947" t="s">
        <v>739</v>
      </c>
      <c r="E26" s="942" t="s">
        <v>740</v>
      </c>
      <c r="F26" s="945">
        <v>170356.75</v>
      </c>
      <c r="G26" s="945">
        <v>240784</v>
      </c>
      <c r="H26" s="945">
        <f t="shared" si="0"/>
        <v>70427.25</v>
      </c>
      <c r="I26" s="943" t="s">
        <v>741</v>
      </c>
      <c r="J26" s="951">
        <f>10+(4/30)</f>
        <v>10.133333333333301</v>
      </c>
      <c r="K26" s="945">
        <f t="shared" si="1"/>
        <v>713662.79999999795</v>
      </c>
    </row>
    <row r="27" spans="1:11" ht="30" customHeight="1">
      <c r="A27" s="709">
        <v>22</v>
      </c>
      <c r="B27" s="942" t="s">
        <v>742</v>
      </c>
      <c r="C27" s="943" t="s">
        <v>743</v>
      </c>
      <c r="D27" s="947" t="s">
        <v>739</v>
      </c>
      <c r="E27" s="942" t="s">
        <v>740</v>
      </c>
      <c r="F27" s="945">
        <v>170356.75</v>
      </c>
      <c r="G27" s="945">
        <v>240784</v>
      </c>
      <c r="H27" s="945">
        <f t="shared" si="0"/>
        <v>70427.25</v>
      </c>
      <c r="I27" s="776" t="s">
        <v>706</v>
      </c>
      <c r="J27" s="951">
        <f t="shared" ref="J27:J31" si="4">1+23/31</f>
        <v>1.74193548387097</v>
      </c>
      <c r="K27" s="945">
        <f t="shared" si="1"/>
        <v>122679.725806452</v>
      </c>
    </row>
    <row r="28" spans="1:11" ht="30" customHeight="1">
      <c r="A28" s="709">
        <v>23</v>
      </c>
      <c r="B28" s="942" t="s">
        <v>744</v>
      </c>
      <c r="C28" s="943" t="s">
        <v>696</v>
      </c>
      <c r="D28" s="947" t="s">
        <v>739</v>
      </c>
      <c r="E28" s="942" t="s">
        <v>740</v>
      </c>
      <c r="F28" s="945">
        <v>170356.75</v>
      </c>
      <c r="G28" s="945">
        <v>240784</v>
      </c>
      <c r="H28" s="945">
        <f t="shared" si="0"/>
        <v>70427.25</v>
      </c>
      <c r="I28" s="776" t="s">
        <v>706</v>
      </c>
      <c r="J28" s="951">
        <f t="shared" si="4"/>
        <v>1.74193548387097</v>
      </c>
      <c r="K28" s="945">
        <f t="shared" si="1"/>
        <v>122679.725806452</v>
      </c>
    </row>
    <row r="29" spans="1:11" ht="30" customHeight="1">
      <c r="A29" s="709">
        <v>24</v>
      </c>
      <c r="B29" s="942" t="s">
        <v>745</v>
      </c>
      <c r="C29" s="943" t="s">
        <v>728</v>
      </c>
      <c r="D29" s="947" t="s">
        <v>739</v>
      </c>
      <c r="E29" s="942" t="s">
        <v>740</v>
      </c>
      <c r="F29" s="945">
        <v>170356.75</v>
      </c>
      <c r="G29" s="945">
        <v>240784</v>
      </c>
      <c r="H29" s="945">
        <f t="shared" si="0"/>
        <v>70427.25</v>
      </c>
      <c r="I29" s="776" t="s">
        <v>706</v>
      </c>
      <c r="J29" s="951">
        <f t="shared" si="4"/>
        <v>1.74193548387097</v>
      </c>
      <c r="K29" s="945">
        <f t="shared" si="1"/>
        <v>122679.725806452</v>
      </c>
    </row>
    <row r="30" spans="1:11" ht="24.95" customHeight="1">
      <c r="A30" s="709">
        <v>25</v>
      </c>
      <c r="B30" s="942" t="s">
        <v>746</v>
      </c>
      <c r="C30" s="943" t="s">
        <v>681</v>
      </c>
      <c r="D30" s="947" t="s">
        <v>739</v>
      </c>
      <c r="E30" s="942" t="s">
        <v>740</v>
      </c>
      <c r="F30" s="945">
        <v>170356.75</v>
      </c>
      <c r="G30" s="945">
        <v>240784</v>
      </c>
      <c r="H30" s="945">
        <f t="shared" si="0"/>
        <v>70427.25</v>
      </c>
      <c r="I30" s="776" t="s">
        <v>706</v>
      </c>
      <c r="J30" s="951">
        <f t="shared" si="4"/>
        <v>1.74193548387097</v>
      </c>
      <c r="K30" s="945">
        <f t="shared" si="1"/>
        <v>122679.725806452</v>
      </c>
    </row>
    <row r="31" spans="1:11" ht="23.1" customHeight="1">
      <c r="A31" s="709">
        <v>26</v>
      </c>
      <c r="B31" s="942" t="s">
        <v>747</v>
      </c>
      <c r="C31" s="943" t="s">
        <v>748</v>
      </c>
      <c r="D31" s="947" t="s">
        <v>739</v>
      </c>
      <c r="E31" s="942" t="s">
        <v>740</v>
      </c>
      <c r="F31" s="945">
        <v>170356.75</v>
      </c>
      <c r="G31" s="945">
        <v>240784</v>
      </c>
      <c r="H31" s="945">
        <f t="shared" si="0"/>
        <v>70427.25</v>
      </c>
      <c r="I31" s="776" t="s">
        <v>706</v>
      </c>
      <c r="J31" s="951">
        <f t="shared" si="4"/>
        <v>1.74193548387097</v>
      </c>
      <c r="K31" s="945">
        <f t="shared" si="1"/>
        <v>122679.725806452</v>
      </c>
    </row>
    <row r="32" spans="1:11" ht="21.95" customHeight="1">
      <c r="A32" s="946"/>
      <c r="B32" s="946" t="s">
        <v>120</v>
      </c>
      <c r="C32" s="946"/>
      <c r="D32" s="946"/>
      <c r="E32" s="946"/>
      <c r="F32" s="945"/>
      <c r="G32" s="945"/>
      <c r="H32" s="948">
        <f>SUM(H6:H31)</f>
        <v>1065012.66666666</v>
      </c>
      <c r="I32" s="946"/>
      <c r="J32" s="952"/>
      <c r="K32" s="953">
        <f>SUM(K6:K31)</f>
        <v>2458835.14495645</v>
      </c>
    </row>
    <row r="33" spans="1:11" ht="15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</row>
    <row r="34" spans="1:11" ht="15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</row>
    <row r="35" spans="1:11" ht="15">
      <c r="A35" s="949"/>
      <c r="B35" s="949"/>
      <c r="C35" s="949"/>
      <c r="D35" s="949"/>
      <c r="E35" s="949"/>
      <c r="F35" s="949"/>
      <c r="G35" s="949"/>
      <c r="H35" s="949"/>
      <c r="I35" s="949"/>
      <c r="J35" s="949"/>
      <c r="K35" s="949"/>
    </row>
    <row r="36" spans="1:11" ht="15">
      <c r="A36" s="949"/>
      <c r="B36" s="949"/>
      <c r="C36" s="949"/>
      <c r="D36" s="949"/>
      <c r="E36" s="949"/>
      <c r="F36" s="949"/>
      <c r="G36" s="949"/>
      <c r="H36" s="949"/>
      <c r="I36" s="949"/>
      <c r="J36" s="949"/>
      <c r="K36" s="949"/>
    </row>
    <row r="37" spans="1:11" ht="15">
      <c r="A37" s="949"/>
      <c r="B37" s="949"/>
      <c r="C37" s="949"/>
      <c r="D37" s="949"/>
      <c r="E37" s="949"/>
      <c r="F37" s="949"/>
      <c r="G37" s="949"/>
      <c r="H37" s="949"/>
      <c r="I37" s="949"/>
      <c r="J37" s="949"/>
      <c r="K37" s="949"/>
    </row>
    <row r="38" spans="1:11" ht="15">
      <c r="A38" s="949"/>
      <c r="B38" s="949"/>
      <c r="C38" s="949"/>
      <c r="D38" s="949"/>
      <c r="E38" s="949"/>
      <c r="F38" s="949"/>
      <c r="G38" s="949"/>
      <c r="H38" s="949"/>
      <c r="I38" s="949"/>
      <c r="J38" s="949"/>
      <c r="K38" s="949"/>
    </row>
    <row r="39" spans="1:11" ht="15">
      <c r="A39" s="949"/>
      <c r="B39" s="949"/>
      <c r="C39" s="949"/>
      <c r="D39" s="949"/>
      <c r="E39" s="949"/>
      <c r="F39" s="949"/>
      <c r="G39" s="949"/>
      <c r="H39" s="949"/>
      <c r="I39" s="949"/>
      <c r="J39" s="949"/>
      <c r="K39" s="949"/>
    </row>
    <row r="40" spans="1:11" ht="15">
      <c r="A40" s="949"/>
      <c r="B40" s="949"/>
      <c r="C40" s="949"/>
      <c r="D40" s="949"/>
      <c r="E40" s="949"/>
      <c r="F40" s="949"/>
      <c r="G40" s="949"/>
      <c r="H40" s="949"/>
      <c r="I40" s="949"/>
      <c r="J40" s="949"/>
      <c r="K40" s="949"/>
    </row>
    <row r="41" spans="1:11" ht="15">
      <c r="A41" s="949"/>
      <c r="B41" s="949"/>
      <c r="C41" s="949"/>
      <c r="D41" s="949"/>
      <c r="E41" s="949"/>
      <c r="F41" s="949"/>
      <c r="G41" s="949"/>
      <c r="H41" s="949"/>
      <c r="I41" s="949"/>
      <c r="J41" s="949"/>
      <c r="K41" s="949"/>
    </row>
    <row r="42" spans="1:11" ht="15">
      <c r="A42" s="949"/>
      <c r="B42" s="949"/>
      <c r="C42" s="949"/>
      <c r="D42" s="949"/>
      <c r="E42" s="949"/>
      <c r="F42" s="949"/>
      <c r="G42" s="949"/>
      <c r="H42" s="949"/>
      <c r="I42" s="949"/>
      <c r="J42" s="949"/>
      <c r="K42" s="949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  <rowBreaks count="1" manualBreakCount="1">
    <brk id="1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view="pageBreakPreview" topLeftCell="A15" zoomScaleNormal="100" workbookViewId="0">
      <selection activeCell="M16" sqref="M16"/>
    </sheetView>
  </sheetViews>
  <sheetFormatPr defaultColWidth="8.7109375" defaultRowHeight="12.75"/>
  <cols>
    <col min="1" max="1" width="4" customWidth="1"/>
    <col min="2" max="2" width="18.85546875" customWidth="1"/>
    <col min="3" max="3" width="8.28515625" customWidth="1"/>
    <col min="4" max="4" width="15.5703125" customWidth="1"/>
    <col min="5" max="5" width="8.5703125" customWidth="1"/>
    <col min="6" max="6" width="10.140625" customWidth="1"/>
    <col min="7" max="7" width="12.140625" customWidth="1"/>
    <col min="8" max="8" width="11.42578125" customWidth="1"/>
    <col min="9" max="9" width="10.5703125" customWidth="1"/>
    <col min="10" max="10" width="9.5703125" customWidth="1"/>
    <col min="11" max="11" width="12.5703125" customWidth="1"/>
    <col min="12" max="12" width="11" customWidth="1"/>
    <col min="13" max="13" width="12.7109375" customWidth="1"/>
    <col min="14" max="14" width="12.42578125" customWidth="1"/>
    <col min="15" max="15" width="12.140625" customWidth="1"/>
    <col min="16" max="16" width="9.5703125"/>
  </cols>
  <sheetData>
    <row r="1" spans="1:16" ht="18.75">
      <c r="A1" s="1156" t="s">
        <v>518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  <c r="L1" s="1156"/>
      <c r="M1" s="1156"/>
      <c r="N1" s="1156"/>
      <c r="O1" s="1156"/>
    </row>
    <row r="2" spans="1:16" ht="18.75">
      <c r="A2" s="1156" t="s">
        <v>749</v>
      </c>
      <c r="B2" s="1156"/>
      <c r="C2" s="1156"/>
      <c r="D2" s="1156"/>
      <c r="E2" s="1156"/>
      <c r="F2" s="1156"/>
      <c r="G2" s="1156"/>
      <c r="H2" s="1156"/>
      <c r="I2" s="1156"/>
      <c r="J2" s="1156"/>
      <c r="K2" s="1156"/>
      <c r="L2" s="1156"/>
      <c r="M2" s="1156"/>
      <c r="N2" s="1156"/>
      <c r="O2" s="1156"/>
    </row>
    <row r="3" spans="1:16" ht="9" customHeight="1"/>
    <row r="4" spans="1:16" ht="44.1" customHeight="1">
      <c r="A4" s="931" t="s">
        <v>520</v>
      </c>
      <c r="B4" s="931" t="s">
        <v>521</v>
      </c>
      <c r="C4" s="931" t="s">
        <v>750</v>
      </c>
      <c r="D4" s="246" t="s">
        <v>3</v>
      </c>
      <c r="E4" s="246" t="s">
        <v>751</v>
      </c>
      <c r="F4" s="636" t="s">
        <v>752</v>
      </c>
      <c r="G4" s="636" t="s">
        <v>753</v>
      </c>
      <c r="H4" s="636" t="s">
        <v>754</v>
      </c>
      <c r="I4" s="636" t="s">
        <v>755</v>
      </c>
      <c r="J4" s="636" t="s">
        <v>756</v>
      </c>
      <c r="K4" s="934" t="s">
        <v>9</v>
      </c>
      <c r="L4" s="890" t="s">
        <v>16</v>
      </c>
      <c r="M4" s="636" t="s">
        <v>757</v>
      </c>
      <c r="N4" s="636" t="s">
        <v>758</v>
      </c>
      <c r="O4" s="636" t="s">
        <v>759</v>
      </c>
    </row>
    <row r="5" spans="1:16" ht="30" customHeight="1">
      <c r="A5" s="242">
        <v>1</v>
      </c>
      <c r="B5" s="929" t="s">
        <v>760</v>
      </c>
      <c r="C5" s="929" t="s">
        <v>452</v>
      </c>
      <c r="D5" s="929" t="s">
        <v>761</v>
      </c>
      <c r="E5" s="929" t="s">
        <v>762</v>
      </c>
      <c r="F5" s="932">
        <v>432981.08333333302</v>
      </c>
      <c r="G5" s="932">
        <v>267732.83333333302</v>
      </c>
      <c r="H5" s="932">
        <f>F5+G5</f>
        <v>700713.91666666698</v>
      </c>
      <c r="I5" s="932"/>
      <c r="J5" s="932">
        <v>80000</v>
      </c>
      <c r="K5" s="935">
        <f>H5+I5+J5</f>
        <v>780713.91666666698</v>
      </c>
      <c r="L5" s="936">
        <v>117800.772906667</v>
      </c>
      <c r="M5" s="936">
        <f>0.08*H5</f>
        <v>56057.113333333298</v>
      </c>
      <c r="N5" s="936">
        <f>M5*12</f>
        <v>672685.36</v>
      </c>
      <c r="O5" s="937">
        <f>K5-L5-M5</f>
        <v>606856.03042666696</v>
      </c>
    </row>
    <row r="6" spans="1:16" ht="30" customHeight="1">
      <c r="A6" s="242">
        <v>2</v>
      </c>
      <c r="B6" s="929" t="s">
        <v>763</v>
      </c>
      <c r="C6" s="929" t="s">
        <v>748</v>
      </c>
      <c r="D6" s="929" t="s">
        <v>764</v>
      </c>
      <c r="E6" s="929" t="s">
        <v>762</v>
      </c>
      <c r="F6" s="932">
        <v>432981.08333333302</v>
      </c>
      <c r="G6" s="932">
        <v>267732.83333333302</v>
      </c>
      <c r="H6" s="932">
        <f t="shared" ref="H6:H28" si="0">F6+G6</f>
        <v>700713.91666666698</v>
      </c>
      <c r="I6" s="932">
        <v>160000</v>
      </c>
      <c r="J6" s="932"/>
      <c r="K6" s="935">
        <f t="shared" ref="K6:K28" si="1">H6+I6+J6</f>
        <v>860713.91666666698</v>
      </c>
      <c r="L6" s="936">
        <v>133160.772906667</v>
      </c>
      <c r="M6" s="936">
        <f t="shared" ref="M6:M28" si="2">0.08*H6</f>
        <v>56057.113333333298</v>
      </c>
      <c r="N6" s="936">
        <f t="shared" ref="N6:N28" si="3">M6*12</f>
        <v>672685.36</v>
      </c>
      <c r="O6" s="937">
        <f t="shared" ref="O6:O28" si="4">K6-L6-M6</f>
        <v>671496.03042666696</v>
      </c>
    </row>
    <row r="7" spans="1:16" ht="30" customHeight="1">
      <c r="A7" s="242">
        <v>3</v>
      </c>
      <c r="B7" s="929" t="s">
        <v>765</v>
      </c>
      <c r="C7" s="929" t="s">
        <v>766</v>
      </c>
      <c r="D7" s="929" t="s">
        <v>764</v>
      </c>
      <c r="E7" s="929" t="s">
        <v>762</v>
      </c>
      <c r="F7" s="932">
        <v>432981.08333333302</v>
      </c>
      <c r="G7" s="932">
        <v>267732.83333333302</v>
      </c>
      <c r="H7" s="932">
        <f t="shared" si="0"/>
        <v>700713.91666666698</v>
      </c>
      <c r="I7" s="932">
        <v>160000</v>
      </c>
      <c r="J7" s="932"/>
      <c r="K7" s="935">
        <f t="shared" si="1"/>
        <v>860713.91666666698</v>
      </c>
      <c r="L7" s="936">
        <v>133160.772906667</v>
      </c>
      <c r="M7" s="936">
        <f t="shared" si="2"/>
        <v>56057.113333333298</v>
      </c>
      <c r="N7" s="936">
        <f t="shared" si="3"/>
        <v>672685.36</v>
      </c>
      <c r="O7" s="937">
        <f t="shared" si="4"/>
        <v>671496.03042666696</v>
      </c>
    </row>
    <row r="8" spans="1:16" ht="30" customHeight="1">
      <c r="A8" s="242">
        <v>4</v>
      </c>
      <c r="B8" s="929" t="s">
        <v>767</v>
      </c>
      <c r="C8" s="929" t="s">
        <v>768</v>
      </c>
      <c r="D8" s="929" t="s">
        <v>769</v>
      </c>
      <c r="E8" s="929" t="s">
        <v>770</v>
      </c>
      <c r="F8" s="932">
        <v>329014.41666666698</v>
      </c>
      <c r="G8" s="932">
        <v>197659.16666666701</v>
      </c>
      <c r="H8" s="932">
        <f t="shared" si="0"/>
        <v>526673.58333333302</v>
      </c>
      <c r="I8" s="932"/>
      <c r="J8" s="932">
        <v>70000</v>
      </c>
      <c r="K8" s="935">
        <f t="shared" si="1"/>
        <v>596673.58333333302</v>
      </c>
      <c r="L8" s="936">
        <v>85138.288426666695</v>
      </c>
      <c r="M8" s="936">
        <f t="shared" si="2"/>
        <v>42133.886666666702</v>
      </c>
      <c r="N8" s="936">
        <f t="shared" si="3"/>
        <v>505606.64</v>
      </c>
      <c r="O8" s="937">
        <f t="shared" si="4"/>
        <v>469401.40824000002</v>
      </c>
    </row>
    <row r="9" spans="1:16" ht="30" customHeight="1">
      <c r="A9" s="242">
        <v>5</v>
      </c>
      <c r="B9" s="929" t="s">
        <v>771</v>
      </c>
      <c r="C9" s="929" t="s">
        <v>772</v>
      </c>
      <c r="D9" s="929" t="s">
        <v>773</v>
      </c>
      <c r="E9" s="929" t="s">
        <v>774</v>
      </c>
      <c r="F9" s="932">
        <v>278231.25</v>
      </c>
      <c r="G9" s="932">
        <v>162927.75</v>
      </c>
      <c r="H9" s="932">
        <f t="shared" si="0"/>
        <v>441159</v>
      </c>
      <c r="I9" s="932">
        <f>110000+48527.49</f>
        <v>158527.49</v>
      </c>
      <c r="J9" s="932"/>
      <c r="K9" s="935">
        <f t="shared" si="1"/>
        <v>599686.49</v>
      </c>
      <c r="L9" s="936">
        <v>87030.270506666697</v>
      </c>
      <c r="M9" s="936">
        <f t="shared" si="2"/>
        <v>35292.720000000001</v>
      </c>
      <c r="N9" s="936">
        <f t="shared" si="3"/>
        <v>423512.64</v>
      </c>
      <c r="O9" s="937">
        <f t="shared" si="4"/>
        <v>477363.49949333299</v>
      </c>
      <c r="P9" s="179"/>
    </row>
    <row r="10" spans="1:16" ht="30" customHeight="1">
      <c r="A10" s="242">
        <v>6</v>
      </c>
      <c r="B10" s="929" t="s">
        <v>775</v>
      </c>
      <c r="C10" s="929" t="s">
        <v>776</v>
      </c>
      <c r="D10" s="929" t="s">
        <v>777</v>
      </c>
      <c r="E10" s="929" t="s">
        <v>778</v>
      </c>
      <c r="F10" s="932">
        <v>187994.41666666701</v>
      </c>
      <c r="G10" s="932">
        <v>99896.5</v>
      </c>
      <c r="H10" s="932">
        <f t="shared" si="0"/>
        <v>287890.91666666698</v>
      </c>
      <c r="I10" s="932"/>
      <c r="J10" s="932">
        <v>50000</v>
      </c>
      <c r="K10" s="935">
        <f t="shared" si="1"/>
        <v>337890.91666666698</v>
      </c>
      <c r="L10" s="936">
        <v>40063.086746666697</v>
      </c>
      <c r="M10" s="936">
        <f t="shared" si="2"/>
        <v>23031.273333333302</v>
      </c>
      <c r="N10" s="936">
        <f t="shared" si="3"/>
        <v>276375.28000000003</v>
      </c>
      <c r="O10" s="937">
        <f t="shared" si="4"/>
        <v>274796.55658666702</v>
      </c>
    </row>
    <row r="11" spans="1:16" ht="30" customHeight="1">
      <c r="A11" s="242">
        <v>7</v>
      </c>
      <c r="B11" s="929" t="s">
        <v>779</v>
      </c>
      <c r="C11" s="929" t="s">
        <v>705</v>
      </c>
      <c r="D11" s="929" t="s">
        <v>780</v>
      </c>
      <c r="E11" s="929" t="s">
        <v>781</v>
      </c>
      <c r="F11" s="932">
        <v>212792.16666666701</v>
      </c>
      <c r="G11" s="932">
        <v>117614.91666666701</v>
      </c>
      <c r="H11" s="932">
        <f t="shared" si="0"/>
        <v>330407.08333333302</v>
      </c>
      <c r="I11" s="932">
        <v>100000</v>
      </c>
      <c r="J11" s="932"/>
      <c r="K11" s="935">
        <f t="shared" si="1"/>
        <v>430407.08333333302</v>
      </c>
      <c r="L11" s="936">
        <v>56229.773866666699</v>
      </c>
      <c r="M11" s="936">
        <f t="shared" si="2"/>
        <v>26432.566666666698</v>
      </c>
      <c r="N11" s="936">
        <f t="shared" si="3"/>
        <v>317190.8</v>
      </c>
      <c r="O11" s="937">
        <f t="shared" si="4"/>
        <v>347744.74280000001</v>
      </c>
    </row>
    <row r="12" spans="1:16" ht="30" customHeight="1">
      <c r="A12" s="242">
        <v>8</v>
      </c>
      <c r="B12" s="929" t="s">
        <v>782</v>
      </c>
      <c r="C12" s="929" t="s">
        <v>772</v>
      </c>
      <c r="D12" s="929" t="s">
        <v>783</v>
      </c>
      <c r="E12" s="929" t="s">
        <v>778</v>
      </c>
      <c r="F12" s="932">
        <v>187994.41666666701</v>
      </c>
      <c r="G12" s="932">
        <v>99896.5</v>
      </c>
      <c r="H12" s="932">
        <f t="shared" si="0"/>
        <v>287890.91666666698</v>
      </c>
      <c r="I12" s="932">
        <f>100000+31668</f>
        <v>131668</v>
      </c>
      <c r="J12" s="932"/>
      <c r="K12" s="935">
        <f t="shared" si="1"/>
        <v>419558.91666666698</v>
      </c>
      <c r="L12" s="936">
        <v>54799.974186666703</v>
      </c>
      <c r="M12" s="936">
        <f t="shared" si="2"/>
        <v>23031.273333333302</v>
      </c>
      <c r="N12" s="936">
        <f t="shared" si="3"/>
        <v>276375.28000000003</v>
      </c>
      <c r="O12" s="937">
        <f t="shared" si="4"/>
        <v>341727.669146667</v>
      </c>
      <c r="P12" s="179"/>
    </row>
    <row r="13" spans="1:16" ht="30" customHeight="1">
      <c r="A13" s="242">
        <v>9</v>
      </c>
      <c r="B13" s="929" t="s">
        <v>784</v>
      </c>
      <c r="C13" s="929" t="s">
        <v>772</v>
      </c>
      <c r="D13" s="929" t="s">
        <v>783</v>
      </c>
      <c r="E13" s="929" t="s">
        <v>778</v>
      </c>
      <c r="F13" s="932">
        <v>187994.41666666701</v>
      </c>
      <c r="G13" s="932">
        <v>99896.5</v>
      </c>
      <c r="H13" s="932">
        <f t="shared" si="0"/>
        <v>287890.91666666698</v>
      </c>
      <c r="I13" s="932">
        <v>131668</v>
      </c>
      <c r="J13" s="932"/>
      <c r="K13" s="935">
        <f t="shared" si="1"/>
        <v>419558.91666666698</v>
      </c>
      <c r="L13" s="936">
        <v>54799.974186666703</v>
      </c>
      <c r="M13" s="936">
        <f t="shared" si="2"/>
        <v>23031.273333333302</v>
      </c>
      <c r="N13" s="936">
        <f t="shared" si="3"/>
        <v>276375.28000000003</v>
      </c>
      <c r="O13" s="937">
        <f t="shared" si="4"/>
        <v>341727.669146667</v>
      </c>
    </row>
    <row r="14" spans="1:16" ht="30" customHeight="1">
      <c r="A14" s="242">
        <v>10</v>
      </c>
      <c r="B14" s="929" t="s">
        <v>785</v>
      </c>
      <c r="C14" s="929" t="s">
        <v>776</v>
      </c>
      <c r="D14" s="929" t="s">
        <v>777</v>
      </c>
      <c r="E14" s="929" t="s">
        <v>778</v>
      </c>
      <c r="F14" s="932">
        <v>187994.41666666701</v>
      </c>
      <c r="G14" s="932">
        <v>99896.5</v>
      </c>
      <c r="H14" s="932">
        <f t="shared" si="0"/>
        <v>287890.91666666698</v>
      </c>
      <c r="I14" s="932"/>
      <c r="J14" s="932">
        <v>50000</v>
      </c>
      <c r="K14" s="935">
        <f t="shared" si="1"/>
        <v>337890.91666666698</v>
      </c>
      <c r="L14" s="936">
        <v>40063.086746666697</v>
      </c>
      <c r="M14" s="936">
        <f t="shared" si="2"/>
        <v>23031.273333333302</v>
      </c>
      <c r="N14" s="936">
        <f t="shared" si="3"/>
        <v>276375.28000000003</v>
      </c>
      <c r="O14" s="937">
        <f t="shared" si="4"/>
        <v>274796.55658666702</v>
      </c>
    </row>
    <row r="15" spans="1:16" ht="30" customHeight="1">
      <c r="A15" s="242">
        <v>11</v>
      </c>
      <c r="B15" s="929" t="s">
        <v>786</v>
      </c>
      <c r="C15" s="929" t="s">
        <v>772</v>
      </c>
      <c r="D15" s="929" t="s">
        <v>783</v>
      </c>
      <c r="E15" s="929" t="s">
        <v>778</v>
      </c>
      <c r="F15" s="932">
        <v>187994.41666666701</v>
      </c>
      <c r="G15" s="932">
        <v>99896.5</v>
      </c>
      <c r="H15" s="932">
        <f t="shared" si="0"/>
        <v>287890.91666666698</v>
      </c>
      <c r="I15" s="932">
        <v>131668</v>
      </c>
      <c r="J15" s="932"/>
      <c r="K15" s="935">
        <v>419558.91666666698</v>
      </c>
      <c r="L15" s="936">
        <v>54799.974186666703</v>
      </c>
      <c r="M15" s="936">
        <f t="shared" si="2"/>
        <v>23031.273333333302</v>
      </c>
      <c r="N15" s="936">
        <f t="shared" si="3"/>
        <v>276375.28000000003</v>
      </c>
      <c r="O15" s="937">
        <f t="shared" si="4"/>
        <v>341727.669146667</v>
      </c>
    </row>
    <row r="16" spans="1:16" ht="30" customHeight="1">
      <c r="A16" s="242">
        <v>12</v>
      </c>
      <c r="B16" s="929" t="s">
        <v>787</v>
      </c>
      <c r="C16" s="929" t="s">
        <v>705</v>
      </c>
      <c r="D16" s="929" t="s">
        <v>788</v>
      </c>
      <c r="E16" s="929" t="s">
        <v>789</v>
      </c>
      <c r="F16" s="932">
        <v>235577.83333333299</v>
      </c>
      <c r="G16" s="932">
        <v>136567.5</v>
      </c>
      <c r="H16" s="932">
        <f t="shared" si="0"/>
        <v>372145.33333333302</v>
      </c>
      <c r="I16" s="932">
        <v>100000</v>
      </c>
      <c r="J16" s="932"/>
      <c r="K16" s="935">
        <f t="shared" si="1"/>
        <v>472145.33333333302</v>
      </c>
      <c r="L16" s="936">
        <v>63602.418346666702</v>
      </c>
      <c r="M16" s="936">
        <f t="shared" si="2"/>
        <v>29771.6266666667</v>
      </c>
      <c r="N16" s="936">
        <f t="shared" si="3"/>
        <v>357259.52000000002</v>
      </c>
      <c r="O16" s="937">
        <f t="shared" si="4"/>
        <v>378771.28831999999</v>
      </c>
    </row>
    <row r="17" spans="1:15" ht="30" customHeight="1">
      <c r="A17" s="242">
        <v>13</v>
      </c>
      <c r="B17" s="929" t="s">
        <v>790</v>
      </c>
      <c r="C17" s="929" t="s">
        <v>696</v>
      </c>
      <c r="D17" s="929" t="s">
        <v>791</v>
      </c>
      <c r="E17" s="929" t="s">
        <v>789</v>
      </c>
      <c r="F17" s="932">
        <v>235577.83333333299</v>
      </c>
      <c r="G17" s="932">
        <v>136567.5</v>
      </c>
      <c r="H17" s="932">
        <f t="shared" si="0"/>
        <v>372145.33333333302</v>
      </c>
      <c r="I17" s="932"/>
      <c r="J17" s="932">
        <v>60000</v>
      </c>
      <c r="K17" s="935">
        <f t="shared" si="1"/>
        <v>432145.33333333302</v>
      </c>
      <c r="L17" s="936">
        <v>55922.418346666702</v>
      </c>
      <c r="M17" s="936">
        <f t="shared" si="2"/>
        <v>29771.6266666667</v>
      </c>
      <c r="N17" s="936">
        <f t="shared" si="3"/>
        <v>357259.52000000002</v>
      </c>
      <c r="O17" s="937">
        <f t="shared" si="4"/>
        <v>346451.28831999999</v>
      </c>
    </row>
    <row r="18" spans="1:15" ht="30" customHeight="1">
      <c r="A18" s="242">
        <v>14</v>
      </c>
      <c r="B18" s="929" t="s">
        <v>792</v>
      </c>
      <c r="C18" s="929" t="s">
        <v>793</v>
      </c>
      <c r="D18" s="929" t="s">
        <v>794</v>
      </c>
      <c r="E18" s="929" t="s">
        <v>789</v>
      </c>
      <c r="F18" s="932">
        <v>235577.83333333299</v>
      </c>
      <c r="G18" s="932">
        <v>136567.5</v>
      </c>
      <c r="H18" s="932">
        <f t="shared" si="0"/>
        <v>372145.33333333302</v>
      </c>
      <c r="I18" s="932"/>
      <c r="J18" s="932">
        <v>60000</v>
      </c>
      <c r="K18" s="935">
        <f t="shared" si="1"/>
        <v>432145.33333333302</v>
      </c>
      <c r="L18" s="936">
        <v>55922.418346666702</v>
      </c>
      <c r="M18" s="936">
        <f t="shared" si="2"/>
        <v>29771.6266666667</v>
      </c>
      <c r="N18" s="936">
        <f t="shared" si="3"/>
        <v>357259.52000000002</v>
      </c>
      <c r="O18" s="937">
        <f t="shared" si="4"/>
        <v>346451.28831999999</v>
      </c>
    </row>
    <row r="19" spans="1:15" ht="30" customHeight="1">
      <c r="A19" s="242">
        <v>15</v>
      </c>
      <c r="B19" s="929" t="s">
        <v>795</v>
      </c>
      <c r="C19" s="929" t="s">
        <v>724</v>
      </c>
      <c r="D19" s="929" t="s">
        <v>796</v>
      </c>
      <c r="E19" s="929" t="s">
        <v>781</v>
      </c>
      <c r="F19" s="932">
        <v>212792.16666666701</v>
      </c>
      <c r="G19" s="932">
        <v>117614.91666666701</v>
      </c>
      <c r="H19" s="932">
        <f t="shared" si="0"/>
        <v>330407.08333333302</v>
      </c>
      <c r="I19" s="932">
        <v>100000</v>
      </c>
      <c r="J19" s="932"/>
      <c r="K19" s="935">
        <f t="shared" si="1"/>
        <v>430407.08333333302</v>
      </c>
      <c r="L19" s="936">
        <v>56229.773866666699</v>
      </c>
      <c r="M19" s="936">
        <f t="shared" si="2"/>
        <v>26432.566666666698</v>
      </c>
      <c r="N19" s="936">
        <f t="shared" si="3"/>
        <v>317190.8</v>
      </c>
      <c r="O19" s="937">
        <f t="shared" si="4"/>
        <v>347744.74280000001</v>
      </c>
    </row>
    <row r="20" spans="1:15" ht="30" customHeight="1">
      <c r="A20" s="242">
        <v>16</v>
      </c>
      <c r="B20" s="929" t="s">
        <v>797</v>
      </c>
      <c r="C20" s="929" t="s">
        <v>724</v>
      </c>
      <c r="D20" s="929" t="s">
        <v>796</v>
      </c>
      <c r="E20" s="929" t="s">
        <v>781</v>
      </c>
      <c r="F20" s="932">
        <v>212792.16666666701</v>
      </c>
      <c r="G20" s="932">
        <v>117614.91666666701</v>
      </c>
      <c r="H20" s="932">
        <f t="shared" si="0"/>
        <v>330407.08333333302</v>
      </c>
      <c r="I20" s="932">
        <v>100000</v>
      </c>
      <c r="J20" s="932"/>
      <c r="K20" s="935">
        <f t="shared" si="1"/>
        <v>430407.08333333302</v>
      </c>
      <c r="L20" s="936">
        <v>56229.773866666699</v>
      </c>
      <c r="M20" s="936">
        <f t="shared" si="2"/>
        <v>26432.566666666698</v>
      </c>
      <c r="N20" s="936">
        <f t="shared" si="3"/>
        <v>317190.8</v>
      </c>
      <c r="O20" s="937">
        <f t="shared" si="4"/>
        <v>347744.74280000001</v>
      </c>
    </row>
    <row r="21" spans="1:15" ht="30" customHeight="1">
      <c r="A21" s="242">
        <v>17</v>
      </c>
      <c r="B21" s="929" t="s">
        <v>798</v>
      </c>
      <c r="C21" s="929" t="s">
        <v>705</v>
      </c>
      <c r="D21" s="929" t="s">
        <v>799</v>
      </c>
      <c r="E21" s="929" t="s">
        <v>778</v>
      </c>
      <c r="F21" s="932">
        <v>187994.41666666701</v>
      </c>
      <c r="G21" s="932">
        <v>99896.5</v>
      </c>
      <c r="H21" s="932">
        <f t="shared" si="0"/>
        <v>287890.91666666698</v>
      </c>
      <c r="I21" s="932"/>
      <c r="J21" s="932">
        <v>50000</v>
      </c>
      <c r="K21" s="935">
        <f t="shared" si="1"/>
        <v>337890.91666666698</v>
      </c>
      <c r="L21" s="936">
        <v>40063.086746666697</v>
      </c>
      <c r="M21" s="936">
        <f t="shared" si="2"/>
        <v>23031.273333333302</v>
      </c>
      <c r="N21" s="936">
        <f t="shared" si="3"/>
        <v>276375.28000000003</v>
      </c>
      <c r="O21" s="937">
        <f t="shared" si="4"/>
        <v>274796.55658666702</v>
      </c>
    </row>
    <row r="22" spans="1:15" ht="30" customHeight="1">
      <c r="A22" s="242">
        <v>18</v>
      </c>
      <c r="B22" s="933" t="s">
        <v>800</v>
      </c>
      <c r="C22" s="929" t="s">
        <v>766</v>
      </c>
      <c r="D22" s="929" t="s">
        <v>796</v>
      </c>
      <c r="E22" s="929" t="s">
        <v>781</v>
      </c>
      <c r="F22" s="932">
        <v>212792.16666666701</v>
      </c>
      <c r="G22" s="932">
        <v>117614.91666666701</v>
      </c>
      <c r="H22" s="932">
        <f t="shared" si="0"/>
        <v>330407.08333333302</v>
      </c>
      <c r="I22" s="932">
        <v>100000</v>
      </c>
      <c r="J22" s="932"/>
      <c r="K22" s="935">
        <f t="shared" si="1"/>
        <v>430407.08333333302</v>
      </c>
      <c r="L22" s="936">
        <v>56229.773866666699</v>
      </c>
      <c r="M22" s="936">
        <f t="shared" si="2"/>
        <v>26432.566666666698</v>
      </c>
      <c r="N22" s="936">
        <f t="shared" si="3"/>
        <v>317190.8</v>
      </c>
      <c r="O22" s="937">
        <f t="shared" si="4"/>
        <v>347744.74280000001</v>
      </c>
    </row>
    <row r="23" spans="1:15" ht="30" customHeight="1">
      <c r="A23" s="242">
        <v>19</v>
      </c>
      <c r="B23" s="933" t="s">
        <v>801</v>
      </c>
      <c r="C23" s="929" t="s">
        <v>766</v>
      </c>
      <c r="D23" s="929" t="s">
        <v>796</v>
      </c>
      <c r="E23" s="929" t="s">
        <v>781</v>
      </c>
      <c r="F23" s="932">
        <v>212792.16666666701</v>
      </c>
      <c r="G23" s="932">
        <v>117614.91666666701</v>
      </c>
      <c r="H23" s="932">
        <f t="shared" si="0"/>
        <v>330407.08333333302</v>
      </c>
      <c r="I23" s="932">
        <v>100000</v>
      </c>
      <c r="J23" s="932"/>
      <c r="K23" s="935">
        <f t="shared" si="1"/>
        <v>430407.08333333302</v>
      </c>
      <c r="L23" s="936">
        <v>56229.773866666699</v>
      </c>
      <c r="M23" s="936">
        <f t="shared" si="2"/>
        <v>26432.566666666698</v>
      </c>
      <c r="N23" s="936">
        <f t="shared" si="3"/>
        <v>317190.8</v>
      </c>
      <c r="O23" s="937">
        <f t="shared" si="4"/>
        <v>347744.74280000001</v>
      </c>
    </row>
    <row r="24" spans="1:15" ht="30" customHeight="1">
      <c r="A24" s="242">
        <v>20</v>
      </c>
      <c r="B24" s="929" t="s">
        <v>802</v>
      </c>
      <c r="C24" s="929" t="s">
        <v>803</v>
      </c>
      <c r="D24" s="929" t="s">
        <v>804</v>
      </c>
      <c r="E24" s="929" t="s">
        <v>781</v>
      </c>
      <c r="F24" s="932">
        <v>212792.16666666701</v>
      </c>
      <c r="G24" s="932">
        <v>117614.91666666701</v>
      </c>
      <c r="H24" s="932">
        <f t="shared" si="0"/>
        <v>330407.08333333302</v>
      </c>
      <c r="I24" s="932"/>
      <c r="J24" s="932">
        <v>60000</v>
      </c>
      <c r="K24" s="935">
        <f t="shared" si="1"/>
        <v>390407.08333333302</v>
      </c>
      <c r="L24" s="936">
        <v>48549.773866666699</v>
      </c>
      <c r="M24" s="936">
        <f t="shared" si="2"/>
        <v>26432.566666666698</v>
      </c>
      <c r="N24" s="936">
        <f t="shared" si="3"/>
        <v>317190.8</v>
      </c>
      <c r="O24" s="937">
        <f t="shared" si="4"/>
        <v>315424.74280000001</v>
      </c>
    </row>
    <row r="25" spans="1:15" ht="30" customHeight="1">
      <c r="A25" s="242">
        <v>21</v>
      </c>
      <c r="B25" s="929" t="s">
        <v>805</v>
      </c>
      <c r="C25" s="929" t="s">
        <v>803</v>
      </c>
      <c r="D25" s="929" t="s">
        <v>796</v>
      </c>
      <c r="E25" s="929" t="s">
        <v>781</v>
      </c>
      <c r="F25" s="932">
        <v>212792.16666666701</v>
      </c>
      <c r="G25" s="932">
        <v>117614.91666666701</v>
      </c>
      <c r="H25" s="932">
        <f t="shared" si="0"/>
        <v>330407.08333333302</v>
      </c>
      <c r="I25" s="932">
        <v>100000</v>
      </c>
      <c r="J25" s="932"/>
      <c r="K25" s="935">
        <f t="shared" si="1"/>
        <v>430407.08333333302</v>
      </c>
      <c r="L25" s="936">
        <v>56229.773866666699</v>
      </c>
      <c r="M25" s="936">
        <f t="shared" si="2"/>
        <v>26432.566666666698</v>
      </c>
      <c r="N25" s="936">
        <f t="shared" si="3"/>
        <v>317190.8</v>
      </c>
      <c r="O25" s="937">
        <f t="shared" si="4"/>
        <v>347744.74280000001</v>
      </c>
    </row>
    <row r="26" spans="1:15" ht="30" customHeight="1">
      <c r="A26" s="242">
        <v>22</v>
      </c>
      <c r="B26" s="929" t="s">
        <v>806</v>
      </c>
      <c r="C26" s="929" t="s">
        <v>681</v>
      </c>
      <c r="D26" s="929" t="s">
        <v>807</v>
      </c>
      <c r="E26" s="929" t="s">
        <v>778</v>
      </c>
      <c r="F26" s="932">
        <v>187994.41666666701</v>
      </c>
      <c r="G26" s="932">
        <v>99896.5</v>
      </c>
      <c r="H26" s="932">
        <f t="shared" si="0"/>
        <v>287890.91666666698</v>
      </c>
      <c r="I26" s="932"/>
      <c r="J26" s="932">
        <v>50000</v>
      </c>
      <c r="K26" s="935">
        <f t="shared" si="1"/>
        <v>337890.91666666698</v>
      </c>
      <c r="L26" s="936">
        <v>40063.086746666697</v>
      </c>
      <c r="M26" s="936">
        <f t="shared" si="2"/>
        <v>23031.273333333302</v>
      </c>
      <c r="N26" s="936">
        <f t="shared" si="3"/>
        <v>276375.28000000003</v>
      </c>
      <c r="O26" s="937">
        <f t="shared" si="4"/>
        <v>274796.55658666702</v>
      </c>
    </row>
    <row r="27" spans="1:15" ht="30" customHeight="1">
      <c r="A27" s="242">
        <v>23</v>
      </c>
      <c r="B27" s="929" t="s">
        <v>808</v>
      </c>
      <c r="C27" s="929" t="s">
        <v>793</v>
      </c>
      <c r="D27" s="929" t="s">
        <v>809</v>
      </c>
      <c r="E27" s="929" t="s">
        <v>778</v>
      </c>
      <c r="F27" s="932">
        <v>187994.41666666701</v>
      </c>
      <c r="G27" s="932">
        <v>99896.5</v>
      </c>
      <c r="H27" s="932">
        <f t="shared" si="0"/>
        <v>287890.91666666698</v>
      </c>
      <c r="I27" s="932"/>
      <c r="J27" s="932">
        <v>50000</v>
      </c>
      <c r="K27" s="935">
        <f t="shared" si="1"/>
        <v>337890.91666666698</v>
      </c>
      <c r="L27" s="936">
        <v>40063.086746666697</v>
      </c>
      <c r="M27" s="936">
        <f t="shared" si="2"/>
        <v>23031.273333333302</v>
      </c>
      <c r="N27" s="936">
        <f t="shared" si="3"/>
        <v>276375.28000000003</v>
      </c>
      <c r="O27" s="937">
        <f t="shared" si="4"/>
        <v>274796.55658666702</v>
      </c>
    </row>
    <row r="28" spans="1:15" ht="30" customHeight="1">
      <c r="A28" s="242">
        <v>24</v>
      </c>
      <c r="B28" s="929" t="s">
        <v>810</v>
      </c>
      <c r="C28" s="929" t="s">
        <v>793</v>
      </c>
      <c r="D28" s="929" t="s">
        <v>811</v>
      </c>
      <c r="E28" s="929" t="s">
        <v>778</v>
      </c>
      <c r="F28" s="932">
        <v>187994.41666666701</v>
      </c>
      <c r="G28" s="932">
        <v>99896.5</v>
      </c>
      <c r="H28" s="932">
        <f t="shared" si="0"/>
        <v>287890.91666666698</v>
      </c>
      <c r="I28" s="932"/>
      <c r="J28" s="932">
        <v>50000</v>
      </c>
      <c r="K28" s="935">
        <f t="shared" si="1"/>
        <v>337890.91666666698</v>
      </c>
      <c r="L28" s="936">
        <v>40063.086746666697</v>
      </c>
      <c r="M28" s="936">
        <f t="shared" si="2"/>
        <v>23031.273333333302</v>
      </c>
      <c r="N28" s="936">
        <f t="shared" si="3"/>
        <v>276375.28000000003</v>
      </c>
      <c r="O28" s="937">
        <f t="shared" si="4"/>
        <v>274796.55658666702</v>
      </c>
    </row>
    <row r="29" spans="1:15" ht="30" customHeight="1">
      <c r="A29" s="242"/>
      <c r="B29" s="929"/>
      <c r="C29" s="929"/>
      <c r="D29" s="929"/>
      <c r="E29" s="929"/>
      <c r="F29" s="932"/>
      <c r="G29" s="932"/>
      <c r="H29" s="932"/>
      <c r="I29" s="932"/>
      <c r="J29" s="932"/>
      <c r="K29" s="938">
        <f>SUM(K5:K28)</f>
        <v>11293809.6566667</v>
      </c>
      <c r="L29" s="938">
        <f>SUM(L5:L28)</f>
        <v>1522444.9927999999</v>
      </c>
      <c r="M29" s="938">
        <f>SUM(M5:M28)</f>
        <v>727222.25333333295</v>
      </c>
      <c r="N29" s="938"/>
      <c r="O29" s="938">
        <f>SUM(O5:O28)</f>
        <v>9044142.4105333295</v>
      </c>
    </row>
    <row r="30" spans="1:15">
      <c r="B30" s="749"/>
      <c r="C30" s="749"/>
      <c r="D30" s="749"/>
      <c r="E30" s="749"/>
      <c r="F30" s="749"/>
      <c r="G30" s="749"/>
      <c r="H30" s="749"/>
      <c r="I30" s="749"/>
      <c r="J30" s="749"/>
      <c r="K30" s="749"/>
      <c r="L30" s="229"/>
      <c r="M30" s="229"/>
      <c r="N30" s="229"/>
    </row>
    <row r="31" spans="1:15">
      <c r="O31" s="372">
        <f>MEMO!I42</f>
        <v>0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6"/>
  <sheetViews>
    <sheetView topLeftCell="A4" workbookViewId="0">
      <selection activeCell="X13" sqref="X1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27.42578125" style="259" customWidth="1"/>
    <col min="28" max="16384" width="9.140625" style="259"/>
  </cols>
  <sheetData>
    <row r="1" spans="1:29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871"/>
    </row>
    <row r="2" spans="1:29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871"/>
    </row>
    <row r="3" spans="1:29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871"/>
    </row>
    <row r="4" spans="1:29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872" t="s">
        <v>677</v>
      </c>
    </row>
    <row r="5" spans="1:29" ht="15.75">
      <c r="A5" s="421">
        <v>1</v>
      </c>
      <c r="B5" s="6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436"/>
      <c r="AB5" s="436"/>
      <c r="AC5" s="436"/>
    </row>
    <row r="6" spans="1:29">
      <c r="A6" s="421">
        <v>1</v>
      </c>
      <c r="B6" s="929" t="s">
        <v>760</v>
      </c>
      <c r="C6" s="422">
        <v>780713.91666666698</v>
      </c>
      <c r="D6" s="423">
        <v>12</v>
      </c>
      <c r="E6" s="424">
        <f t="shared" ref="E6:E29" si="0">C6*D6</f>
        <v>9368567</v>
      </c>
      <c r="F6" s="424"/>
      <c r="G6" s="424">
        <v>672685.36</v>
      </c>
      <c r="H6" s="424"/>
      <c r="I6" s="424">
        <f t="shared" ref="I6:I29" si="1">E6-F6-G6-H6</f>
        <v>8695881.6400000006</v>
      </c>
      <c r="J6" s="424">
        <v>200000</v>
      </c>
      <c r="K6" s="424">
        <v>0.2</v>
      </c>
      <c r="L6" s="424">
        <f t="shared" ref="L6:L29" si="2">I6*K6</f>
        <v>1739176.328</v>
      </c>
      <c r="M6" s="424">
        <f t="shared" ref="M6:M29" si="3">J6+L6</f>
        <v>1939176.328</v>
      </c>
      <c r="N6" s="424">
        <f t="shared" ref="N6:N29" si="4">F6+G6+H6+M6</f>
        <v>2611861.6880000001</v>
      </c>
      <c r="O6" s="424">
        <f t="shared" ref="O6:O29" si="5">E6-N6</f>
        <v>6756705.3119999999</v>
      </c>
      <c r="P6" s="424">
        <f t="shared" ref="P6:P29" si="6">IF(O6&lt;300000,0.07*O6,21000)</f>
        <v>21000</v>
      </c>
      <c r="Q6" s="424">
        <f t="shared" ref="Q6:Q29" si="7">IF((O6-300000)&lt;0,0,IF((O6-300000)&lt;300000,0.11*(O6-300000),33000))</f>
        <v>33000</v>
      </c>
      <c r="R6" s="424">
        <f t="shared" ref="R6:R29" si="8">IF((O6-600000)&lt;0,0,IF((O6-600000)&lt;500000,0.15*(O6-600000),75000))</f>
        <v>75000</v>
      </c>
      <c r="S6" s="424">
        <f t="shared" ref="S6:S29" si="9">IF((O6-1100000)&lt;0,0,IF((O6-1100000)&lt;500000,0.19*(O6-1100000),95000))</f>
        <v>95000</v>
      </c>
      <c r="T6" s="424">
        <f t="shared" ref="T6:T29" si="10">IF((O6-1600000)&lt;0,0,IF((O6-1600000)&lt;1600000,0.21*(O6-1600000),336000))</f>
        <v>336000</v>
      </c>
      <c r="U6" s="424">
        <f t="shared" ref="U6:U26" si="11">24%*(O6-3200000)</f>
        <v>853609.27488000004</v>
      </c>
      <c r="V6" s="424">
        <f t="shared" ref="V6:V29" si="12">P6+Q6+R6+S6+T6+U6</f>
        <v>1413609.2748799999</v>
      </c>
      <c r="W6" s="431">
        <v>12</v>
      </c>
      <c r="X6" s="424">
        <f t="shared" ref="X6:X29" si="13">V6/W6</f>
        <v>117800.772906667</v>
      </c>
      <c r="Y6" s="424"/>
      <c r="Z6" s="873">
        <f t="shared" ref="Z6:Z29" si="14">X6</f>
        <v>117800.772906667</v>
      </c>
      <c r="AA6" s="436"/>
      <c r="AB6" s="436"/>
      <c r="AC6" s="436"/>
    </row>
    <row r="7" spans="1:29">
      <c r="A7" s="421">
        <v>2</v>
      </c>
      <c r="B7" s="929" t="s">
        <v>763</v>
      </c>
      <c r="C7" s="422">
        <v>860713.91666666698</v>
      </c>
      <c r="D7" s="423">
        <v>12</v>
      </c>
      <c r="E7" s="424">
        <f t="shared" si="0"/>
        <v>10328567</v>
      </c>
      <c r="F7" s="424"/>
      <c r="G7" s="424">
        <v>672685.36</v>
      </c>
      <c r="H7" s="424"/>
      <c r="I7" s="424">
        <f t="shared" si="1"/>
        <v>9655881.6400000006</v>
      </c>
      <c r="J7" s="424">
        <v>200000</v>
      </c>
      <c r="K7" s="424">
        <v>0.2</v>
      </c>
      <c r="L7" s="424">
        <f t="shared" si="2"/>
        <v>1931176.328</v>
      </c>
      <c r="M7" s="424">
        <f t="shared" si="3"/>
        <v>2131176.3280000002</v>
      </c>
      <c r="N7" s="424">
        <f t="shared" si="4"/>
        <v>2803861.6880000001</v>
      </c>
      <c r="O7" s="424">
        <f t="shared" si="5"/>
        <v>7524705.3119999999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1037929.27488</v>
      </c>
      <c r="V7" s="424">
        <f t="shared" si="12"/>
        <v>1597929.2748799999</v>
      </c>
      <c r="W7" s="431">
        <v>12</v>
      </c>
      <c r="X7" s="424">
        <f t="shared" si="13"/>
        <v>133160.772906667</v>
      </c>
      <c r="Y7" s="424"/>
      <c r="Z7" s="873">
        <f t="shared" si="14"/>
        <v>133160.772906667</v>
      </c>
      <c r="AA7" s="436"/>
      <c r="AB7" s="436"/>
      <c r="AC7" s="436"/>
    </row>
    <row r="8" spans="1:29">
      <c r="A8" s="421">
        <v>3</v>
      </c>
      <c r="B8" s="929" t="s">
        <v>765</v>
      </c>
      <c r="C8" s="422">
        <v>860713.91666666698</v>
      </c>
      <c r="D8" s="423">
        <v>12</v>
      </c>
      <c r="E8" s="424">
        <f t="shared" si="0"/>
        <v>10328567</v>
      </c>
      <c r="F8" s="424"/>
      <c r="G8" s="424">
        <v>672685.36</v>
      </c>
      <c r="H8" s="424"/>
      <c r="I8" s="424">
        <f t="shared" si="1"/>
        <v>9655881.6400000006</v>
      </c>
      <c r="J8" s="424">
        <v>200000</v>
      </c>
      <c r="K8" s="424">
        <v>0.2</v>
      </c>
      <c r="L8" s="424">
        <f t="shared" si="2"/>
        <v>1931176.328</v>
      </c>
      <c r="M8" s="424">
        <f t="shared" si="3"/>
        <v>2131176.3280000002</v>
      </c>
      <c r="N8" s="424">
        <f t="shared" si="4"/>
        <v>2803861.6880000001</v>
      </c>
      <c r="O8" s="424">
        <f t="shared" si="5"/>
        <v>7524705.3119999999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1037929.27488</v>
      </c>
      <c r="V8" s="424">
        <f t="shared" si="12"/>
        <v>1597929.2748799999</v>
      </c>
      <c r="W8" s="431">
        <v>12</v>
      </c>
      <c r="X8" s="424">
        <f t="shared" si="13"/>
        <v>133160.772906667</v>
      </c>
      <c r="Y8" s="424"/>
      <c r="Z8" s="873">
        <f t="shared" si="14"/>
        <v>133160.772906667</v>
      </c>
      <c r="AA8" s="436"/>
      <c r="AB8" s="436"/>
      <c r="AC8" s="436"/>
    </row>
    <row r="9" spans="1:29">
      <c r="A9" s="421">
        <v>4</v>
      </c>
      <c r="B9" s="929" t="s">
        <v>767</v>
      </c>
      <c r="C9" s="422">
        <v>596673.58333333302</v>
      </c>
      <c r="D9" s="423">
        <v>12</v>
      </c>
      <c r="E9" s="424">
        <f t="shared" si="0"/>
        <v>7160083</v>
      </c>
      <c r="F9" s="424"/>
      <c r="G9" s="424">
        <v>505606.64</v>
      </c>
      <c r="H9" s="424"/>
      <c r="I9" s="424">
        <f t="shared" si="1"/>
        <v>6654476.3600000003</v>
      </c>
      <c r="J9" s="424">
        <v>200000</v>
      </c>
      <c r="K9" s="424">
        <v>0.2</v>
      </c>
      <c r="L9" s="424">
        <f t="shared" si="2"/>
        <v>1330895.2720000001</v>
      </c>
      <c r="M9" s="424">
        <f t="shared" si="3"/>
        <v>1530895.2720000001</v>
      </c>
      <c r="N9" s="424">
        <f t="shared" si="4"/>
        <v>2036501.912</v>
      </c>
      <c r="O9" s="424">
        <f t="shared" si="5"/>
        <v>5123581.0880000005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461659.46111999999</v>
      </c>
      <c r="V9" s="424">
        <f t="shared" si="12"/>
        <v>1021659.46112</v>
      </c>
      <c r="W9" s="431">
        <v>12</v>
      </c>
      <c r="X9" s="424">
        <f t="shared" si="13"/>
        <v>85138.288426666695</v>
      </c>
      <c r="Y9" s="424"/>
      <c r="Z9" s="873">
        <f t="shared" si="14"/>
        <v>85138.288426666695</v>
      </c>
      <c r="AA9" s="436"/>
      <c r="AB9" s="436"/>
      <c r="AC9" s="436"/>
    </row>
    <row r="10" spans="1:29">
      <c r="A10" s="421">
        <v>5</v>
      </c>
      <c r="B10" s="929" t="s">
        <v>771</v>
      </c>
      <c r="C10" s="430">
        <v>599686.49</v>
      </c>
      <c r="D10" s="423">
        <v>12</v>
      </c>
      <c r="E10" s="424">
        <f t="shared" si="0"/>
        <v>7196237.8799999999</v>
      </c>
      <c r="F10" s="424"/>
      <c r="G10" s="424">
        <v>423512.64</v>
      </c>
      <c r="H10" s="424"/>
      <c r="I10" s="424">
        <f t="shared" si="1"/>
        <v>6772725.2400000002</v>
      </c>
      <c r="J10" s="424">
        <v>200000</v>
      </c>
      <c r="K10" s="424">
        <v>0.2</v>
      </c>
      <c r="L10" s="424">
        <f t="shared" si="2"/>
        <v>1354545.048</v>
      </c>
      <c r="M10" s="424">
        <f t="shared" si="3"/>
        <v>1554545.048</v>
      </c>
      <c r="N10" s="424">
        <f t="shared" si="4"/>
        <v>1978057.6880000001</v>
      </c>
      <c r="O10" s="424">
        <f t="shared" si="5"/>
        <v>5218180.1919999998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484363.24608000001</v>
      </c>
      <c r="V10" s="424">
        <f t="shared" si="12"/>
        <v>1044363.24608</v>
      </c>
      <c r="W10" s="431">
        <v>12</v>
      </c>
      <c r="X10" s="424">
        <f t="shared" si="13"/>
        <v>87030.270506666697</v>
      </c>
      <c r="Y10" s="424"/>
      <c r="Z10" s="873">
        <f t="shared" si="14"/>
        <v>87030.270506666697</v>
      </c>
      <c r="AA10" s="436"/>
      <c r="AB10" s="436"/>
      <c r="AC10" s="436"/>
    </row>
    <row r="11" spans="1:29">
      <c r="A11" s="421">
        <v>6</v>
      </c>
      <c r="B11" s="929" t="s">
        <v>775</v>
      </c>
      <c r="C11" s="422">
        <v>337890.91666666698</v>
      </c>
      <c r="D11" s="423">
        <v>12</v>
      </c>
      <c r="E11" s="424">
        <f t="shared" si="0"/>
        <v>4054691</v>
      </c>
      <c r="F11" s="424"/>
      <c r="G11" s="424">
        <v>276375.28000000003</v>
      </c>
      <c r="H11" s="424"/>
      <c r="I11" s="424">
        <f t="shared" si="1"/>
        <v>3778315.72</v>
      </c>
      <c r="J11" s="424">
        <v>200000</v>
      </c>
      <c r="K11" s="424">
        <v>0.2</v>
      </c>
      <c r="L11" s="424">
        <f t="shared" si="2"/>
        <v>755663.14399999997</v>
      </c>
      <c r="M11" s="424">
        <f t="shared" si="3"/>
        <v>955663.14399999997</v>
      </c>
      <c r="N11" s="424">
        <f t="shared" si="4"/>
        <v>1232038.4240000001</v>
      </c>
      <c r="O11" s="424">
        <f t="shared" si="5"/>
        <v>2822652.5759999999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256757.04096000001</v>
      </c>
      <c r="U11" s="424">
        <v>0</v>
      </c>
      <c r="V11" s="424">
        <f t="shared" si="12"/>
        <v>480757.04096000001</v>
      </c>
      <c r="W11" s="431">
        <v>12</v>
      </c>
      <c r="X11" s="424">
        <f t="shared" si="13"/>
        <v>40063.086746666697</v>
      </c>
      <c r="Y11" s="424"/>
      <c r="Z11" s="873">
        <f t="shared" si="14"/>
        <v>40063.086746666697</v>
      </c>
      <c r="AA11" s="436"/>
      <c r="AB11" s="436"/>
      <c r="AC11" s="436"/>
    </row>
    <row r="12" spans="1:29">
      <c r="A12" s="421">
        <v>7</v>
      </c>
      <c r="B12" s="929" t="s">
        <v>779</v>
      </c>
      <c r="C12" s="422">
        <v>430407.08333333302</v>
      </c>
      <c r="D12" s="423">
        <v>12</v>
      </c>
      <c r="E12" s="424">
        <f t="shared" si="0"/>
        <v>5164885</v>
      </c>
      <c r="F12" s="424"/>
      <c r="G12" s="424">
        <v>317190.8</v>
      </c>
      <c r="H12" s="424"/>
      <c r="I12" s="424">
        <f t="shared" si="1"/>
        <v>4847694.2</v>
      </c>
      <c r="J12" s="424">
        <v>200000</v>
      </c>
      <c r="K12" s="424">
        <v>0.2</v>
      </c>
      <c r="L12" s="424">
        <f t="shared" si="2"/>
        <v>969538.84</v>
      </c>
      <c r="M12" s="424">
        <f t="shared" si="3"/>
        <v>1169538.8400000001</v>
      </c>
      <c r="N12" s="424">
        <f t="shared" si="4"/>
        <v>1486729.64</v>
      </c>
      <c r="O12" s="424">
        <f t="shared" si="5"/>
        <v>3678155.36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114757.2864</v>
      </c>
      <c r="V12" s="424">
        <f t="shared" si="12"/>
        <v>674757.28639999998</v>
      </c>
      <c r="W12" s="431">
        <v>12</v>
      </c>
      <c r="X12" s="424">
        <f t="shared" si="13"/>
        <v>56229.773866666699</v>
      </c>
      <c r="Y12" s="424"/>
      <c r="Z12" s="873">
        <f t="shared" si="14"/>
        <v>56229.773866666699</v>
      </c>
      <c r="AA12" s="436"/>
      <c r="AB12" s="436"/>
      <c r="AC12" s="436"/>
    </row>
    <row r="13" spans="1:29">
      <c r="A13" s="421">
        <v>8</v>
      </c>
      <c r="B13" s="929" t="s">
        <v>782</v>
      </c>
      <c r="C13" s="422">
        <v>419558.91666666698</v>
      </c>
      <c r="D13" s="423">
        <v>12</v>
      </c>
      <c r="E13" s="424">
        <f t="shared" si="0"/>
        <v>5034707</v>
      </c>
      <c r="F13" s="424"/>
      <c r="G13" s="424">
        <v>276375.28000000003</v>
      </c>
      <c r="H13" s="424"/>
      <c r="I13" s="424">
        <f t="shared" si="1"/>
        <v>4758331.72</v>
      </c>
      <c r="J13" s="424">
        <v>200000</v>
      </c>
      <c r="K13" s="424">
        <v>0.2</v>
      </c>
      <c r="L13" s="424">
        <f t="shared" si="2"/>
        <v>951666.34400000004</v>
      </c>
      <c r="M13" s="424">
        <f t="shared" si="3"/>
        <v>1151666.344</v>
      </c>
      <c r="N13" s="424">
        <f t="shared" si="4"/>
        <v>1428041.6240000001</v>
      </c>
      <c r="O13" s="424">
        <f t="shared" si="5"/>
        <v>3606665.3760000002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97599.690239999996</v>
      </c>
      <c r="V13" s="424">
        <f t="shared" si="12"/>
        <v>657599.69024000003</v>
      </c>
      <c r="W13" s="431">
        <v>12</v>
      </c>
      <c r="X13" s="424">
        <f t="shared" si="13"/>
        <v>54799.974186666703</v>
      </c>
      <c r="Y13" s="424"/>
      <c r="Z13" s="873">
        <f t="shared" si="14"/>
        <v>54799.974186666703</v>
      </c>
      <c r="AA13" s="436"/>
      <c r="AB13" s="436"/>
      <c r="AC13" s="436"/>
    </row>
    <row r="14" spans="1:29">
      <c r="A14" s="421">
        <v>9</v>
      </c>
      <c r="B14" s="929" t="s">
        <v>784</v>
      </c>
      <c r="C14" s="422">
        <v>419558.91666666698</v>
      </c>
      <c r="D14" s="423">
        <v>12</v>
      </c>
      <c r="E14" s="424">
        <f t="shared" si="0"/>
        <v>5034707</v>
      </c>
      <c r="F14" s="424"/>
      <c r="G14" s="424">
        <v>276375.28000000003</v>
      </c>
      <c r="H14" s="424"/>
      <c r="I14" s="424">
        <f t="shared" si="1"/>
        <v>4758331.72</v>
      </c>
      <c r="J14" s="424">
        <v>200000</v>
      </c>
      <c r="K14" s="424">
        <v>0.2</v>
      </c>
      <c r="L14" s="424">
        <f t="shared" si="2"/>
        <v>951666.34400000004</v>
      </c>
      <c r="M14" s="424">
        <f t="shared" si="3"/>
        <v>1151666.344</v>
      </c>
      <c r="N14" s="424">
        <f t="shared" si="4"/>
        <v>1428041.6240000001</v>
      </c>
      <c r="O14" s="424">
        <f t="shared" si="5"/>
        <v>3606665.3760000002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97599.690239999996</v>
      </c>
      <c r="V14" s="424">
        <f t="shared" si="12"/>
        <v>657599.69024000003</v>
      </c>
      <c r="W14" s="431">
        <v>12</v>
      </c>
      <c r="X14" s="424">
        <f t="shared" si="13"/>
        <v>54799.974186666703</v>
      </c>
      <c r="Y14" s="424"/>
      <c r="Z14" s="873">
        <f t="shared" si="14"/>
        <v>54799.974186666703</v>
      </c>
      <c r="AA14" s="436"/>
      <c r="AB14" s="436"/>
      <c r="AC14" s="436"/>
    </row>
    <row r="15" spans="1:29">
      <c r="A15" s="421">
        <v>10</v>
      </c>
      <c r="B15" s="929" t="s">
        <v>785</v>
      </c>
      <c r="C15" s="422">
        <v>337890.91666666698</v>
      </c>
      <c r="D15" s="423">
        <v>12</v>
      </c>
      <c r="E15" s="424">
        <f t="shared" si="0"/>
        <v>4054691</v>
      </c>
      <c r="F15" s="424"/>
      <c r="G15" s="425">
        <v>276375.28000000003</v>
      </c>
      <c r="H15" s="424"/>
      <c r="I15" s="424">
        <f t="shared" si="1"/>
        <v>3778315.72</v>
      </c>
      <c r="J15" s="424">
        <v>200000</v>
      </c>
      <c r="K15" s="424">
        <v>0.2</v>
      </c>
      <c r="L15" s="424">
        <f t="shared" si="2"/>
        <v>755663.14399999997</v>
      </c>
      <c r="M15" s="424">
        <f t="shared" si="3"/>
        <v>955663.14399999997</v>
      </c>
      <c r="N15" s="424">
        <f t="shared" si="4"/>
        <v>1232038.4240000001</v>
      </c>
      <c r="O15" s="424">
        <f t="shared" si="5"/>
        <v>2822652.5759999999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256757.04096000001</v>
      </c>
      <c r="U15" s="424">
        <v>0</v>
      </c>
      <c r="V15" s="424">
        <f t="shared" si="12"/>
        <v>480757.04096000001</v>
      </c>
      <c r="W15" s="431">
        <v>12</v>
      </c>
      <c r="X15" s="424">
        <f t="shared" si="13"/>
        <v>40063.086746666697</v>
      </c>
      <c r="Y15" s="424"/>
      <c r="Z15" s="873">
        <f t="shared" si="14"/>
        <v>40063.086746666697</v>
      </c>
      <c r="AA15" s="436"/>
      <c r="AB15" s="436"/>
      <c r="AC15" s="436"/>
    </row>
    <row r="16" spans="1:29">
      <c r="A16" s="421">
        <v>11</v>
      </c>
      <c r="B16" s="929" t="s">
        <v>786</v>
      </c>
      <c r="C16" s="422">
        <v>419558.91666666698</v>
      </c>
      <c r="D16" s="423">
        <v>12</v>
      </c>
      <c r="E16" s="424">
        <f t="shared" si="0"/>
        <v>5034707</v>
      </c>
      <c r="F16" s="424"/>
      <c r="G16" s="424">
        <v>276375.28000000003</v>
      </c>
      <c r="H16" s="424"/>
      <c r="I16" s="424">
        <f t="shared" si="1"/>
        <v>4758331.72</v>
      </c>
      <c r="J16" s="424">
        <v>200000</v>
      </c>
      <c r="K16" s="424">
        <v>0.2</v>
      </c>
      <c r="L16" s="424">
        <f t="shared" si="2"/>
        <v>951666.34400000004</v>
      </c>
      <c r="M16" s="424">
        <f t="shared" si="3"/>
        <v>1151666.344</v>
      </c>
      <c r="N16" s="424">
        <f t="shared" si="4"/>
        <v>1428041.6240000001</v>
      </c>
      <c r="O16" s="424">
        <f t="shared" si="5"/>
        <v>3606665.3760000002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97599.690239999996</v>
      </c>
      <c r="V16" s="424">
        <f t="shared" si="12"/>
        <v>657599.69024000003</v>
      </c>
      <c r="W16" s="431">
        <v>12</v>
      </c>
      <c r="X16" s="424">
        <f t="shared" si="13"/>
        <v>54799.974186666703</v>
      </c>
      <c r="Y16" s="424"/>
      <c r="Z16" s="873">
        <f t="shared" si="14"/>
        <v>54799.974186666703</v>
      </c>
      <c r="AA16" s="436"/>
      <c r="AB16" s="436"/>
      <c r="AC16" s="436"/>
    </row>
    <row r="17" spans="1:29">
      <c r="A17" s="421">
        <v>12</v>
      </c>
      <c r="B17" s="929" t="s">
        <v>787</v>
      </c>
      <c r="C17" s="422">
        <v>472145.33333333302</v>
      </c>
      <c r="D17" s="423">
        <v>12</v>
      </c>
      <c r="E17" s="424">
        <f t="shared" si="0"/>
        <v>5665744</v>
      </c>
      <c r="F17" s="424"/>
      <c r="G17" s="424">
        <v>357259.52000000002</v>
      </c>
      <c r="H17" s="424"/>
      <c r="I17" s="424">
        <f t="shared" si="1"/>
        <v>5308484.4800000004</v>
      </c>
      <c r="J17" s="424">
        <v>200000</v>
      </c>
      <c r="K17" s="424">
        <v>0.2</v>
      </c>
      <c r="L17" s="424">
        <f t="shared" si="2"/>
        <v>1061696.8959999999</v>
      </c>
      <c r="M17" s="424">
        <f t="shared" si="3"/>
        <v>1261696.8959999999</v>
      </c>
      <c r="N17" s="424">
        <f t="shared" si="4"/>
        <v>1618956.416</v>
      </c>
      <c r="O17" s="424">
        <f t="shared" si="5"/>
        <v>4046787.5839999998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203229.02015999999</v>
      </c>
      <c r="V17" s="424">
        <f t="shared" si="12"/>
        <v>763229.02015999996</v>
      </c>
      <c r="W17" s="431">
        <v>12</v>
      </c>
      <c r="X17" s="424">
        <f t="shared" si="13"/>
        <v>63602.418346666702</v>
      </c>
      <c r="Y17" s="424"/>
      <c r="Z17" s="873">
        <f t="shared" si="14"/>
        <v>63602.418346666702</v>
      </c>
      <c r="AA17" s="436"/>
      <c r="AB17" s="436"/>
      <c r="AC17" s="436"/>
    </row>
    <row r="18" spans="1:29">
      <c r="A18" s="421">
        <v>13</v>
      </c>
      <c r="B18" s="929" t="s">
        <v>790</v>
      </c>
      <c r="C18" s="422">
        <v>432145.33333333302</v>
      </c>
      <c r="D18" s="423">
        <v>12</v>
      </c>
      <c r="E18" s="424">
        <f t="shared" si="0"/>
        <v>5185744</v>
      </c>
      <c r="F18" s="424"/>
      <c r="G18" s="424">
        <v>357259.52000000002</v>
      </c>
      <c r="H18" s="424"/>
      <c r="I18" s="424">
        <f t="shared" si="1"/>
        <v>4828484.4800000004</v>
      </c>
      <c r="J18" s="424">
        <v>200000</v>
      </c>
      <c r="K18" s="424">
        <v>0.2</v>
      </c>
      <c r="L18" s="424">
        <f t="shared" si="2"/>
        <v>965696.89599999995</v>
      </c>
      <c r="M18" s="424">
        <f t="shared" si="3"/>
        <v>1165696.8959999999</v>
      </c>
      <c r="N18" s="424">
        <f t="shared" si="4"/>
        <v>1522956.416</v>
      </c>
      <c r="O18" s="424">
        <f t="shared" si="5"/>
        <v>3662787.5839999998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111069.02016</v>
      </c>
      <c r="V18" s="424">
        <f t="shared" si="12"/>
        <v>671069.02015999996</v>
      </c>
      <c r="W18" s="431">
        <v>12</v>
      </c>
      <c r="X18" s="424">
        <f t="shared" si="13"/>
        <v>55922.418346666702</v>
      </c>
      <c r="Y18" s="424"/>
      <c r="Z18" s="873">
        <f t="shared" si="14"/>
        <v>55922.418346666702</v>
      </c>
      <c r="AA18" s="436"/>
      <c r="AB18" s="436"/>
      <c r="AC18" s="436"/>
    </row>
    <row r="19" spans="1:29">
      <c r="A19" s="421">
        <v>14</v>
      </c>
      <c r="B19" s="929" t="s">
        <v>792</v>
      </c>
      <c r="C19" s="422">
        <v>432145.33333333302</v>
      </c>
      <c r="D19" s="423">
        <v>12</v>
      </c>
      <c r="E19" s="424">
        <f t="shared" si="0"/>
        <v>5185744</v>
      </c>
      <c r="F19" s="424"/>
      <c r="G19" s="424">
        <v>357259.52000000002</v>
      </c>
      <c r="H19" s="424"/>
      <c r="I19" s="424">
        <f t="shared" si="1"/>
        <v>4828484.4800000004</v>
      </c>
      <c r="J19" s="424">
        <v>200000</v>
      </c>
      <c r="K19" s="424">
        <v>0.2</v>
      </c>
      <c r="L19" s="424">
        <f t="shared" si="2"/>
        <v>965696.89599999995</v>
      </c>
      <c r="M19" s="424">
        <f t="shared" si="3"/>
        <v>1165696.8959999999</v>
      </c>
      <c r="N19" s="424">
        <f t="shared" si="4"/>
        <v>1522956.416</v>
      </c>
      <c r="O19" s="424">
        <f t="shared" si="5"/>
        <v>3662787.5839999998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111069.02016</v>
      </c>
      <c r="V19" s="424">
        <f t="shared" si="12"/>
        <v>671069.02015999996</v>
      </c>
      <c r="W19" s="431">
        <v>12</v>
      </c>
      <c r="X19" s="424">
        <f t="shared" si="13"/>
        <v>55922.418346666702</v>
      </c>
      <c r="Y19" s="424"/>
      <c r="Z19" s="873">
        <f t="shared" si="14"/>
        <v>55922.418346666702</v>
      </c>
      <c r="AA19" s="436"/>
      <c r="AB19" s="436"/>
      <c r="AC19" s="436"/>
    </row>
    <row r="20" spans="1:29">
      <c r="A20" s="421">
        <v>15</v>
      </c>
      <c r="B20" s="929" t="s">
        <v>795</v>
      </c>
      <c r="C20" s="422">
        <v>430407.08333333302</v>
      </c>
      <c r="D20" s="423">
        <v>12</v>
      </c>
      <c r="E20" s="424">
        <f t="shared" si="0"/>
        <v>5164885</v>
      </c>
      <c r="F20" s="424"/>
      <c r="G20" s="424">
        <v>317190.8</v>
      </c>
      <c r="H20" s="424"/>
      <c r="I20" s="424">
        <f t="shared" si="1"/>
        <v>4847694.2</v>
      </c>
      <c r="J20" s="424">
        <v>200000</v>
      </c>
      <c r="K20" s="424">
        <v>0.2</v>
      </c>
      <c r="L20" s="424">
        <f t="shared" si="2"/>
        <v>969538.84</v>
      </c>
      <c r="M20" s="424">
        <f t="shared" si="3"/>
        <v>1169538.8400000001</v>
      </c>
      <c r="N20" s="424">
        <f t="shared" si="4"/>
        <v>1486729.64</v>
      </c>
      <c r="O20" s="424">
        <f t="shared" si="5"/>
        <v>3678155.36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114757.2864</v>
      </c>
      <c r="V20" s="424">
        <f t="shared" si="12"/>
        <v>674757.28639999998</v>
      </c>
      <c r="W20" s="431">
        <v>12</v>
      </c>
      <c r="X20" s="424">
        <f t="shared" si="13"/>
        <v>56229.773866666699</v>
      </c>
      <c r="Y20" s="424"/>
      <c r="Z20" s="873">
        <f t="shared" si="14"/>
        <v>56229.773866666699</v>
      </c>
      <c r="AA20" s="436"/>
      <c r="AB20" s="436"/>
      <c r="AC20" s="436"/>
    </row>
    <row r="21" spans="1:29">
      <c r="A21" s="421">
        <v>16</v>
      </c>
      <c r="B21" s="929" t="s">
        <v>797</v>
      </c>
      <c r="C21" s="422">
        <v>430407.08333333302</v>
      </c>
      <c r="D21" s="423">
        <v>12</v>
      </c>
      <c r="E21" s="424">
        <f t="shared" si="0"/>
        <v>5164885</v>
      </c>
      <c r="F21" s="424"/>
      <c r="G21" s="424">
        <v>317190.8</v>
      </c>
      <c r="H21" s="424"/>
      <c r="I21" s="424">
        <f t="shared" si="1"/>
        <v>4847694.2</v>
      </c>
      <c r="J21" s="424">
        <v>200000</v>
      </c>
      <c r="K21" s="424">
        <v>0.2</v>
      </c>
      <c r="L21" s="424">
        <f t="shared" si="2"/>
        <v>969538.84</v>
      </c>
      <c r="M21" s="424">
        <f t="shared" si="3"/>
        <v>1169538.8400000001</v>
      </c>
      <c r="N21" s="424">
        <f t="shared" si="4"/>
        <v>1486729.64</v>
      </c>
      <c r="O21" s="424">
        <f t="shared" si="5"/>
        <v>3678155.36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114757.2864</v>
      </c>
      <c r="V21" s="424">
        <f t="shared" si="12"/>
        <v>674757.28639999998</v>
      </c>
      <c r="W21" s="431">
        <v>12</v>
      </c>
      <c r="X21" s="424">
        <f t="shared" si="13"/>
        <v>56229.773866666699</v>
      </c>
      <c r="Y21" s="424"/>
      <c r="Z21" s="873">
        <f t="shared" si="14"/>
        <v>56229.773866666699</v>
      </c>
      <c r="AA21" s="436"/>
      <c r="AB21" s="436"/>
      <c r="AC21" s="436"/>
    </row>
    <row r="22" spans="1:29">
      <c r="A22" s="421">
        <v>17</v>
      </c>
      <c r="B22" s="929" t="s">
        <v>798</v>
      </c>
      <c r="C22" s="422">
        <v>337890.91666666698</v>
      </c>
      <c r="D22" s="423">
        <v>12</v>
      </c>
      <c r="E22" s="424">
        <f t="shared" si="0"/>
        <v>4054691</v>
      </c>
      <c r="F22" s="424"/>
      <c r="G22" s="424">
        <v>276375.28000000003</v>
      </c>
      <c r="H22" s="424"/>
      <c r="I22" s="424">
        <f t="shared" si="1"/>
        <v>3778315.72</v>
      </c>
      <c r="J22" s="424">
        <v>200000</v>
      </c>
      <c r="K22" s="424">
        <v>0.2</v>
      </c>
      <c r="L22" s="424">
        <f t="shared" si="2"/>
        <v>755663.14399999997</v>
      </c>
      <c r="M22" s="424">
        <f t="shared" si="3"/>
        <v>955663.14399999997</v>
      </c>
      <c r="N22" s="424">
        <f t="shared" si="4"/>
        <v>1232038.4240000001</v>
      </c>
      <c r="O22" s="424">
        <f t="shared" si="5"/>
        <v>2822652.5759999999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256757.04096000001</v>
      </c>
      <c r="U22" s="424">
        <v>0</v>
      </c>
      <c r="V22" s="424">
        <f t="shared" si="12"/>
        <v>480757.04096000001</v>
      </c>
      <c r="W22" s="431">
        <v>12</v>
      </c>
      <c r="X22" s="424">
        <f t="shared" si="13"/>
        <v>40063.086746666697</v>
      </c>
      <c r="Y22" s="424"/>
      <c r="Z22" s="873">
        <f t="shared" si="14"/>
        <v>40063.086746666697</v>
      </c>
      <c r="AA22" s="436"/>
      <c r="AB22" s="436"/>
      <c r="AC22" s="436"/>
    </row>
    <row r="23" spans="1:29">
      <c r="A23" s="421">
        <v>18</v>
      </c>
      <c r="B23" s="930" t="s">
        <v>800</v>
      </c>
      <c r="C23" s="422">
        <v>430407.08333333302</v>
      </c>
      <c r="D23" s="423">
        <v>12</v>
      </c>
      <c r="E23" s="424">
        <f t="shared" si="0"/>
        <v>5164885</v>
      </c>
      <c r="F23" s="424"/>
      <c r="G23" s="424">
        <v>317190.8</v>
      </c>
      <c r="H23" s="424"/>
      <c r="I23" s="424">
        <f t="shared" si="1"/>
        <v>4847694.2</v>
      </c>
      <c r="J23" s="424">
        <v>200000</v>
      </c>
      <c r="K23" s="424">
        <v>0.2</v>
      </c>
      <c r="L23" s="424">
        <f t="shared" si="2"/>
        <v>969538.84</v>
      </c>
      <c r="M23" s="424">
        <f t="shared" si="3"/>
        <v>1169538.8400000001</v>
      </c>
      <c r="N23" s="424">
        <f t="shared" si="4"/>
        <v>1486729.64</v>
      </c>
      <c r="O23" s="424">
        <f t="shared" si="5"/>
        <v>3678155.36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114757.2864</v>
      </c>
      <c r="V23" s="424">
        <f t="shared" si="12"/>
        <v>674757.28639999998</v>
      </c>
      <c r="W23" s="431">
        <v>12</v>
      </c>
      <c r="X23" s="424">
        <f t="shared" si="13"/>
        <v>56229.773866666699</v>
      </c>
      <c r="Y23" s="424"/>
      <c r="Z23" s="873">
        <f t="shared" si="14"/>
        <v>56229.773866666699</v>
      </c>
      <c r="AA23" s="436"/>
      <c r="AB23" s="436"/>
      <c r="AC23" s="436"/>
    </row>
    <row r="24" spans="1:29">
      <c r="A24" s="421">
        <v>19</v>
      </c>
      <c r="B24" s="930" t="s">
        <v>801</v>
      </c>
      <c r="C24" s="422">
        <v>430407.08333333302</v>
      </c>
      <c r="D24" s="423">
        <v>12</v>
      </c>
      <c r="E24" s="424">
        <f t="shared" si="0"/>
        <v>5164885</v>
      </c>
      <c r="F24" s="424"/>
      <c r="G24" s="424">
        <v>317190.8</v>
      </c>
      <c r="H24" s="424"/>
      <c r="I24" s="424">
        <f t="shared" si="1"/>
        <v>4847694.2</v>
      </c>
      <c r="J24" s="424">
        <v>200000</v>
      </c>
      <c r="K24" s="424">
        <v>0.2</v>
      </c>
      <c r="L24" s="424">
        <f t="shared" si="2"/>
        <v>969538.84</v>
      </c>
      <c r="M24" s="424">
        <f t="shared" si="3"/>
        <v>1169538.8400000001</v>
      </c>
      <c r="N24" s="424">
        <f t="shared" si="4"/>
        <v>1486729.64</v>
      </c>
      <c r="O24" s="424">
        <f t="shared" si="5"/>
        <v>3678155.36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114757.2864</v>
      </c>
      <c r="V24" s="424">
        <f t="shared" si="12"/>
        <v>674757.28639999998</v>
      </c>
      <c r="W24" s="431">
        <v>12</v>
      </c>
      <c r="X24" s="424">
        <f t="shared" si="13"/>
        <v>56229.773866666699</v>
      </c>
      <c r="Y24" s="424"/>
      <c r="Z24" s="873">
        <f t="shared" si="14"/>
        <v>56229.773866666699</v>
      </c>
      <c r="AA24" s="436"/>
      <c r="AB24" s="436"/>
      <c r="AC24" s="436"/>
    </row>
    <row r="25" spans="1:29">
      <c r="A25" s="421">
        <v>20</v>
      </c>
      <c r="B25" s="929" t="s">
        <v>802</v>
      </c>
      <c r="C25" s="422">
        <v>390407.08333333302</v>
      </c>
      <c r="D25" s="423">
        <v>12</v>
      </c>
      <c r="E25" s="424">
        <f t="shared" si="0"/>
        <v>4684885</v>
      </c>
      <c r="F25" s="424"/>
      <c r="G25" s="424">
        <v>317190.8</v>
      </c>
      <c r="H25" s="424"/>
      <c r="I25" s="424">
        <f t="shared" si="1"/>
        <v>4367694.2</v>
      </c>
      <c r="J25" s="424">
        <v>200000</v>
      </c>
      <c r="K25" s="424">
        <v>0.2</v>
      </c>
      <c r="L25" s="424">
        <f t="shared" si="2"/>
        <v>873538.84</v>
      </c>
      <c r="M25" s="424">
        <f t="shared" si="3"/>
        <v>1073538.8400000001</v>
      </c>
      <c r="N25" s="424">
        <f t="shared" si="4"/>
        <v>1390729.64</v>
      </c>
      <c r="O25" s="424">
        <f t="shared" si="5"/>
        <v>3294155.36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22597.286400000001</v>
      </c>
      <c r="V25" s="424">
        <f t="shared" si="12"/>
        <v>582597.28639999998</v>
      </c>
      <c r="W25" s="431">
        <v>12</v>
      </c>
      <c r="X25" s="424">
        <f t="shared" si="13"/>
        <v>48549.773866666699</v>
      </c>
      <c r="Y25" s="424"/>
      <c r="Z25" s="873">
        <f t="shared" si="14"/>
        <v>48549.773866666699</v>
      </c>
      <c r="AA25" s="436"/>
      <c r="AB25" s="436"/>
      <c r="AC25" s="436"/>
    </row>
    <row r="26" spans="1:29">
      <c r="A26" s="421">
        <v>21</v>
      </c>
      <c r="B26" s="929" t="s">
        <v>805</v>
      </c>
      <c r="C26" s="422">
        <v>430407.08333333302</v>
      </c>
      <c r="D26" s="423">
        <v>12</v>
      </c>
      <c r="E26" s="424">
        <f t="shared" si="0"/>
        <v>5164885</v>
      </c>
      <c r="F26" s="424"/>
      <c r="G26" s="424">
        <v>317190.8</v>
      </c>
      <c r="H26" s="424"/>
      <c r="I26" s="424">
        <f t="shared" si="1"/>
        <v>4847694.2</v>
      </c>
      <c r="J26" s="424">
        <v>200000</v>
      </c>
      <c r="K26" s="424">
        <v>0.2</v>
      </c>
      <c r="L26" s="424">
        <f t="shared" si="2"/>
        <v>969538.84</v>
      </c>
      <c r="M26" s="424">
        <f t="shared" si="3"/>
        <v>1169538.8400000001</v>
      </c>
      <c r="N26" s="424">
        <f t="shared" si="4"/>
        <v>1486729.64</v>
      </c>
      <c r="O26" s="424">
        <f t="shared" si="5"/>
        <v>3678155.36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114757.2864</v>
      </c>
      <c r="V26" s="424">
        <f t="shared" si="12"/>
        <v>674757.28639999998</v>
      </c>
      <c r="W26" s="431">
        <v>12</v>
      </c>
      <c r="X26" s="424">
        <f t="shared" si="13"/>
        <v>56229.773866666699</v>
      </c>
      <c r="Y26" s="424"/>
      <c r="Z26" s="873">
        <f t="shared" si="14"/>
        <v>56229.773866666699</v>
      </c>
      <c r="AA26" s="436"/>
      <c r="AB26" s="436"/>
      <c r="AC26" s="436"/>
    </row>
    <row r="27" spans="1:29">
      <c r="A27" s="421">
        <v>22</v>
      </c>
      <c r="B27" s="929" t="s">
        <v>806</v>
      </c>
      <c r="C27" s="422">
        <v>337890.91666666698</v>
      </c>
      <c r="D27" s="423">
        <v>12</v>
      </c>
      <c r="E27" s="424">
        <f t="shared" si="0"/>
        <v>4054691</v>
      </c>
      <c r="F27" s="424"/>
      <c r="G27" s="424">
        <v>276375.28000000003</v>
      </c>
      <c r="H27" s="424"/>
      <c r="I27" s="424">
        <f t="shared" si="1"/>
        <v>3778315.72</v>
      </c>
      <c r="J27" s="424">
        <v>200000</v>
      </c>
      <c r="K27" s="424">
        <v>0.2</v>
      </c>
      <c r="L27" s="424">
        <f t="shared" si="2"/>
        <v>755663.14399999997</v>
      </c>
      <c r="M27" s="424">
        <f t="shared" si="3"/>
        <v>955663.14399999997</v>
      </c>
      <c r="N27" s="424">
        <f t="shared" si="4"/>
        <v>1232038.4240000001</v>
      </c>
      <c r="O27" s="424">
        <f t="shared" si="5"/>
        <v>2822652.5759999999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256757.04096000001</v>
      </c>
      <c r="U27" s="424">
        <v>0</v>
      </c>
      <c r="V27" s="424">
        <f t="shared" si="12"/>
        <v>480757.04096000001</v>
      </c>
      <c r="W27" s="431">
        <v>12</v>
      </c>
      <c r="X27" s="424">
        <f t="shared" si="13"/>
        <v>40063.086746666697</v>
      </c>
      <c r="Y27" s="424"/>
      <c r="Z27" s="873">
        <f t="shared" si="14"/>
        <v>40063.086746666697</v>
      </c>
      <c r="AA27" s="436"/>
      <c r="AB27" s="436"/>
      <c r="AC27" s="436"/>
    </row>
    <row r="28" spans="1:29">
      <c r="A28" s="421">
        <v>23</v>
      </c>
      <c r="B28" s="929" t="s">
        <v>808</v>
      </c>
      <c r="C28" s="422">
        <v>337890.91666666698</v>
      </c>
      <c r="D28" s="423">
        <v>12</v>
      </c>
      <c r="E28" s="424">
        <f t="shared" si="0"/>
        <v>4054691</v>
      </c>
      <c r="F28" s="424"/>
      <c r="G28" s="424">
        <v>276375.28000000003</v>
      </c>
      <c r="H28" s="424"/>
      <c r="I28" s="424">
        <f t="shared" si="1"/>
        <v>3778315.72</v>
      </c>
      <c r="J28" s="424">
        <v>200000</v>
      </c>
      <c r="K28" s="424">
        <v>0.2</v>
      </c>
      <c r="L28" s="424">
        <f t="shared" si="2"/>
        <v>755663.14399999997</v>
      </c>
      <c r="M28" s="424">
        <f t="shared" si="3"/>
        <v>955663.14399999997</v>
      </c>
      <c r="N28" s="424">
        <f t="shared" si="4"/>
        <v>1232038.4240000001</v>
      </c>
      <c r="O28" s="424">
        <f t="shared" si="5"/>
        <v>2822652.5759999999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256757.04096000001</v>
      </c>
      <c r="U28" s="424">
        <v>0</v>
      </c>
      <c r="V28" s="424">
        <f t="shared" si="12"/>
        <v>480757.04096000001</v>
      </c>
      <c r="W28" s="431">
        <v>12</v>
      </c>
      <c r="X28" s="424">
        <f t="shared" si="13"/>
        <v>40063.086746666697</v>
      </c>
      <c r="Y28" s="424"/>
      <c r="Z28" s="873">
        <f t="shared" si="14"/>
        <v>40063.086746666697</v>
      </c>
      <c r="AA28" s="436"/>
      <c r="AB28" s="436"/>
      <c r="AC28" s="436"/>
    </row>
    <row r="29" spans="1:29">
      <c r="A29" s="421">
        <v>24</v>
      </c>
      <c r="B29" s="929" t="s">
        <v>810</v>
      </c>
      <c r="C29" s="422">
        <v>337890.91666666698</v>
      </c>
      <c r="D29" s="423">
        <v>12</v>
      </c>
      <c r="E29" s="424">
        <f t="shared" si="0"/>
        <v>4054691</v>
      </c>
      <c r="F29" s="424"/>
      <c r="G29" s="424">
        <v>276375.28000000003</v>
      </c>
      <c r="H29" s="424"/>
      <c r="I29" s="424">
        <f t="shared" si="1"/>
        <v>3778315.72</v>
      </c>
      <c r="J29" s="424">
        <v>200000</v>
      </c>
      <c r="K29" s="424">
        <v>0.2</v>
      </c>
      <c r="L29" s="424">
        <f t="shared" si="2"/>
        <v>755663.14399999997</v>
      </c>
      <c r="M29" s="424">
        <f t="shared" si="3"/>
        <v>955663.14399999997</v>
      </c>
      <c r="N29" s="424">
        <f t="shared" si="4"/>
        <v>1232038.4240000001</v>
      </c>
      <c r="O29" s="424">
        <f t="shared" si="5"/>
        <v>2822652.5759999999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256757.04096000001</v>
      </c>
      <c r="U29" s="424">
        <v>0</v>
      </c>
      <c r="V29" s="424">
        <f t="shared" si="12"/>
        <v>480757.04096000001</v>
      </c>
      <c r="W29" s="431">
        <v>12</v>
      </c>
      <c r="X29" s="424">
        <f t="shared" si="13"/>
        <v>40063.086746666697</v>
      </c>
      <c r="Y29" s="424"/>
      <c r="Z29" s="873">
        <f t="shared" si="14"/>
        <v>40063.086746666697</v>
      </c>
      <c r="AA29" s="436"/>
      <c r="AB29" s="436"/>
      <c r="AC29" s="436"/>
    </row>
    <row r="30" spans="1:29">
      <c r="Z30" s="259"/>
    </row>
    <row r="31" spans="1:29">
      <c r="Z31" s="259"/>
    </row>
    <row r="32" spans="1:29">
      <c r="Z32" s="259"/>
    </row>
    <row r="33" spans="26:26">
      <c r="Z33" s="259"/>
    </row>
    <row r="34" spans="26:26">
      <c r="Z34" s="259"/>
    </row>
    <row r="35" spans="26:26">
      <c r="Z35" s="259"/>
    </row>
    <row r="36" spans="26:26">
      <c r="Z36" s="259"/>
    </row>
    <row r="37" spans="26:26">
      <c r="Z37" s="259"/>
    </row>
    <row r="38" spans="26:26">
      <c r="Z38" s="259"/>
    </row>
    <row r="39" spans="26:26">
      <c r="Z39" s="259"/>
    </row>
    <row r="40" spans="26:26">
      <c r="Z40" s="259"/>
    </row>
    <row r="41" spans="26:26">
      <c r="Z41" s="259"/>
    </row>
    <row r="42" spans="26:26">
      <c r="Z42" s="259"/>
    </row>
    <row r="43" spans="26:26">
      <c r="Z43" s="259"/>
    </row>
    <row r="44" spans="26:26">
      <c r="Z44" s="259"/>
    </row>
    <row r="45" spans="26:26">
      <c r="Z45" s="259"/>
    </row>
    <row r="46" spans="26:26">
      <c r="Z46" s="259"/>
    </row>
    <row r="47" spans="26:26">
      <c r="Z47" s="259"/>
    </row>
    <row r="48" spans="26:26">
      <c r="Z48" s="259"/>
    </row>
    <row r="49" spans="26:26">
      <c r="Z49" s="259"/>
    </row>
    <row r="50" spans="26:26">
      <c r="Z50" s="259"/>
    </row>
    <row r="51" spans="26:26">
      <c r="Z51" s="259"/>
    </row>
    <row r="52" spans="26:26">
      <c r="Z52" s="259"/>
    </row>
    <row r="53" spans="26:26">
      <c r="Z53" s="259"/>
    </row>
    <row r="54" spans="26:26">
      <c r="Z54" s="259"/>
    </row>
    <row r="55" spans="26:26">
      <c r="Z55" s="259"/>
    </row>
    <row r="56" spans="26:26">
      <c r="Z56" s="259"/>
    </row>
    <row r="57" spans="26:26">
      <c r="Z57" s="259"/>
    </row>
    <row r="58" spans="26:26">
      <c r="Z58" s="259"/>
    </row>
    <row r="59" spans="26:26">
      <c r="Z59" s="259"/>
    </row>
    <row r="60" spans="26:26">
      <c r="Z60" s="259"/>
    </row>
    <row r="61" spans="26:26">
      <c r="Z61" s="259"/>
    </row>
    <row r="62" spans="26:26">
      <c r="Z62" s="259"/>
    </row>
    <row r="63" spans="26:26">
      <c r="Z63" s="259"/>
    </row>
    <row r="64" spans="26:26">
      <c r="Z64" s="259"/>
    </row>
    <row r="65" spans="26:26">
      <c r="Z65" s="259"/>
    </row>
    <row r="66" spans="26:26">
      <c r="Z66" s="259"/>
    </row>
    <row r="67" spans="26:26">
      <c r="Z67" s="259"/>
    </row>
    <row r="68" spans="26:26">
      <c r="Z68" s="259"/>
    </row>
    <row r="69" spans="26:26">
      <c r="Z69" s="259"/>
    </row>
    <row r="70" spans="26:26">
      <c r="Z70" s="259"/>
    </row>
    <row r="71" spans="26:26">
      <c r="Z71" s="259"/>
    </row>
    <row r="72" spans="26:26">
      <c r="Z72" s="259"/>
    </row>
    <row r="73" spans="26:26">
      <c r="Z73" s="259"/>
    </row>
    <row r="74" spans="26:26">
      <c r="Z74" s="259"/>
    </row>
    <row r="75" spans="26:26">
      <c r="Z75" s="259"/>
    </row>
    <row r="76" spans="26:26">
      <c r="Z76" s="259"/>
    </row>
    <row r="77" spans="26:26">
      <c r="Z77" s="259"/>
    </row>
    <row r="78" spans="26:26">
      <c r="Z78" s="259"/>
    </row>
    <row r="79" spans="26:26">
      <c r="Z79" s="259"/>
    </row>
    <row r="80" spans="26:26">
      <c r="Z80" s="259"/>
    </row>
    <row r="81" spans="26:26">
      <c r="Z81" s="259"/>
    </row>
    <row r="82" spans="26:26">
      <c r="Z82" s="259"/>
    </row>
    <row r="83" spans="26:26">
      <c r="Z83" s="259"/>
    </row>
    <row r="84" spans="26:26">
      <c r="Z84" s="259"/>
    </row>
    <row r="85" spans="26:26">
      <c r="Z85" s="259"/>
    </row>
    <row r="86" spans="26:26">
      <c r="Z86" s="259"/>
    </row>
    <row r="87" spans="26:26">
      <c r="Z87" s="259"/>
    </row>
    <row r="88" spans="26:26">
      <c r="Z88" s="259"/>
    </row>
    <row r="89" spans="26:26">
      <c r="Z89" s="259"/>
    </row>
    <row r="90" spans="26:26">
      <c r="Z90" s="259"/>
    </row>
    <row r="91" spans="26:26">
      <c r="Z91" s="259"/>
    </row>
    <row r="92" spans="26:26">
      <c r="Z92" s="259"/>
    </row>
    <row r="93" spans="26:26">
      <c r="Z93" s="259"/>
    </row>
    <row r="94" spans="26:26">
      <c r="Z94" s="259"/>
    </row>
    <row r="95" spans="26:26">
      <c r="Z95" s="259"/>
    </row>
    <row r="96" spans="26:26">
      <c r="Z96" s="259"/>
    </row>
    <row r="97" spans="26:26">
      <c r="Z97" s="259"/>
    </row>
    <row r="98" spans="26:26">
      <c r="Z98" s="259"/>
    </row>
    <row r="99" spans="26:26">
      <c r="Z99" s="259"/>
    </row>
    <row r="100" spans="26:26">
      <c r="Z100" s="259"/>
    </row>
    <row r="101" spans="26:26">
      <c r="Z101" s="259"/>
    </row>
    <row r="102" spans="26:26">
      <c r="Z102" s="259"/>
    </row>
    <row r="103" spans="26:26">
      <c r="Z103" s="259"/>
    </row>
    <row r="104" spans="26:26">
      <c r="Z104" s="259"/>
    </row>
    <row r="105" spans="26:26">
      <c r="Z105" s="259"/>
    </row>
    <row r="106" spans="26:26">
      <c r="Z106" s="259"/>
    </row>
    <row r="107" spans="26:26">
      <c r="Z107" s="259"/>
    </row>
    <row r="108" spans="26:26">
      <c r="Z108" s="259"/>
    </row>
    <row r="109" spans="26:26">
      <c r="Z109" s="259"/>
    </row>
    <row r="110" spans="26:26">
      <c r="Z110" s="259"/>
    </row>
    <row r="111" spans="26:26">
      <c r="Z111" s="259"/>
    </row>
    <row r="112" spans="26:26">
      <c r="Z112" s="259"/>
    </row>
    <row r="113" spans="26:26">
      <c r="Z113" s="259"/>
    </row>
    <row r="114" spans="26:26">
      <c r="Z114" s="259"/>
    </row>
    <row r="115" spans="26:26">
      <c r="Z115" s="259"/>
    </row>
    <row r="116" spans="26:26">
      <c r="Z116" s="259"/>
    </row>
    <row r="117" spans="26:26">
      <c r="Z117" s="259"/>
    </row>
    <row r="118" spans="26:26">
      <c r="Z118" s="259"/>
    </row>
    <row r="119" spans="26:26">
      <c r="Z119" s="259"/>
    </row>
    <row r="120" spans="26:26">
      <c r="Z120" s="259"/>
    </row>
    <row r="121" spans="26:26">
      <c r="Z121" s="259"/>
    </row>
    <row r="122" spans="26:26">
      <c r="Z122" s="259"/>
    </row>
    <row r="123" spans="26:26">
      <c r="Z123" s="259"/>
    </row>
    <row r="124" spans="26:26">
      <c r="Z124" s="259"/>
    </row>
    <row r="125" spans="26:26">
      <c r="Z125" s="259"/>
    </row>
    <row r="126" spans="26:26">
      <c r="Z126" s="259"/>
    </row>
    <row r="127" spans="26:26">
      <c r="Z127" s="259"/>
    </row>
    <row r="128" spans="26:26">
      <c r="Z128" s="259"/>
    </row>
    <row r="129" spans="26:26">
      <c r="Z129" s="259"/>
    </row>
    <row r="130" spans="26:26">
      <c r="Z130" s="259"/>
    </row>
    <row r="131" spans="26:26">
      <c r="Z131" s="259"/>
    </row>
    <row r="132" spans="26:26">
      <c r="Z132" s="259"/>
    </row>
    <row r="133" spans="26:26">
      <c r="Z133" s="259"/>
    </row>
    <row r="134" spans="26:26">
      <c r="Z134" s="259"/>
    </row>
    <row r="135" spans="26:26">
      <c r="Z135" s="259"/>
    </row>
    <row r="136" spans="26:26">
      <c r="Z136" s="259"/>
    </row>
    <row r="137" spans="26:26">
      <c r="Z137" s="259"/>
    </row>
    <row r="138" spans="26:26">
      <c r="Z138" s="259"/>
    </row>
    <row r="139" spans="26:26">
      <c r="Z139" s="259"/>
    </row>
    <row r="140" spans="26:26">
      <c r="Z140" s="259"/>
    </row>
    <row r="141" spans="26:26">
      <c r="Z141" s="259"/>
    </row>
    <row r="142" spans="26:26">
      <c r="Z142" s="259"/>
    </row>
    <row r="143" spans="26:26">
      <c r="Z143" s="259"/>
    </row>
    <row r="144" spans="26:26">
      <c r="Z144" s="259"/>
    </row>
    <row r="145" spans="26:26">
      <c r="Z145" s="259"/>
    </row>
    <row r="146" spans="26:26">
      <c r="Z146" s="259"/>
    </row>
    <row r="147" spans="26:26">
      <c r="Z147" s="259"/>
    </row>
    <row r="148" spans="26:26">
      <c r="Z148" s="259"/>
    </row>
    <row r="149" spans="26:26">
      <c r="Z149" s="259"/>
    </row>
    <row r="150" spans="26:26">
      <c r="Z150" s="259"/>
    </row>
    <row r="151" spans="26:26">
      <c r="Z151" s="259"/>
    </row>
    <row r="152" spans="26:26">
      <c r="Z152" s="259"/>
    </row>
    <row r="153" spans="26:26">
      <c r="Z153" s="259"/>
    </row>
    <row r="154" spans="26:26">
      <c r="Z154" s="259"/>
    </row>
    <row r="155" spans="26:26">
      <c r="Z155" s="259"/>
    </row>
    <row r="156" spans="26:26">
      <c r="Z156" s="259"/>
    </row>
    <row r="157" spans="26:26">
      <c r="Z157" s="259"/>
    </row>
    <row r="158" spans="26:26">
      <c r="Z158" s="259"/>
    </row>
    <row r="159" spans="26:26">
      <c r="Z159" s="259"/>
    </row>
    <row r="160" spans="26:26">
      <c r="Z160" s="259"/>
    </row>
    <row r="161" spans="26:26">
      <c r="Z161" s="259"/>
    </row>
    <row r="162" spans="26:26">
      <c r="Z162" s="259"/>
    </row>
    <row r="163" spans="26:26">
      <c r="Z163" s="259"/>
    </row>
    <row r="164" spans="26:26">
      <c r="Z164" s="259"/>
    </row>
    <row r="165" spans="26:26">
      <c r="Z165" s="259"/>
    </row>
    <row r="166" spans="26:26">
      <c r="Z166" s="259"/>
    </row>
    <row r="167" spans="26:26">
      <c r="Z167" s="259"/>
    </row>
    <row r="168" spans="26:26">
      <c r="Z168" s="259"/>
    </row>
    <row r="169" spans="26:26">
      <c r="Z169" s="259"/>
    </row>
    <row r="170" spans="26:26">
      <c r="Z170" s="259"/>
    </row>
    <row r="171" spans="26:26">
      <c r="Z171" s="259"/>
    </row>
    <row r="172" spans="26:26">
      <c r="Z172" s="259"/>
    </row>
    <row r="173" spans="26:26">
      <c r="Z173" s="259"/>
    </row>
    <row r="174" spans="26:26">
      <c r="Z174" s="259"/>
    </row>
    <row r="175" spans="26:26">
      <c r="Z175" s="259"/>
    </row>
    <row r="176" spans="26:26">
      <c r="Z176" s="259"/>
    </row>
    <row r="177" spans="26:26">
      <c r="Z177" s="259"/>
    </row>
    <row r="178" spans="26:26">
      <c r="Z178" s="259"/>
    </row>
    <row r="179" spans="26:26">
      <c r="Z179" s="259"/>
    </row>
    <row r="180" spans="26:26">
      <c r="Z180" s="259"/>
    </row>
    <row r="181" spans="26:26">
      <c r="Z181" s="259"/>
    </row>
    <row r="182" spans="26:26">
      <c r="Z182" s="259"/>
    </row>
    <row r="183" spans="26:26">
      <c r="Z183" s="259"/>
    </row>
    <row r="184" spans="26:26">
      <c r="Z184" s="259"/>
    </row>
    <row r="185" spans="26:26">
      <c r="Z185" s="259"/>
    </row>
    <row r="186" spans="26:26">
      <c r="Z186" s="259"/>
    </row>
    <row r="187" spans="26:26">
      <c r="Z187" s="259"/>
    </row>
    <row r="188" spans="26:26">
      <c r="Z188" s="259"/>
    </row>
    <row r="189" spans="26:26">
      <c r="Z189" s="259"/>
    </row>
    <row r="190" spans="26:26">
      <c r="Z190" s="259"/>
    </row>
    <row r="191" spans="26:26">
      <c r="Z191" s="259"/>
    </row>
    <row r="192" spans="26:26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1" sqref="L21"/>
    </sheetView>
  </sheetViews>
  <sheetFormatPr defaultColWidth="8.7109375" defaultRowHeight="12.7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B4" sqref="B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871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871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871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872" t="s">
        <v>677</v>
      </c>
      <c r="AA4" s="420" t="s">
        <v>481</v>
      </c>
      <c r="AB4" s="434" t="s">
        <v>678</v>
      </c>
    </row>
    <row r="5" spans="1:31" ht="15.75">
      <c r="A5" s="421">
        <v>1</v>
      </c>
      <c r="B5" s="6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24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>IF(O6&lt;300000,0.07*O6,21000)</f>
        <v>21000</v>
      </c>
      <c r="Q6" s="424">
        <f t="shared" ref="Q6:Q36" si="6">IF((O6-300000)&lt;0,0,IF((O6-300000)&lt;300000,0.11*(O6-300000),33000))</f>
        <v>33000</v>
      </c>
      <c r="R6" s="424">
        <f t="shared" ref="R6:R36" si="7">IF((O6-600000)&lt;0,0,IF((O6-600000)&lt;500000,0.15*(O6-600000),75000))</f>
        <v>75000</v>
      </c>
      <c r="S6" s="424">
        <f t="shared" ref="S6:S36" si="8">IF((O6-1100000)&lt;0,0,IF((O6-1100000)&lt;500000,0.19*(O6-1100000),95000))</f>
        <v>95000</v>
      </c>
      <c r="T6" s="424">
        <f t="shared" ref="T6:T36" si="9">IF((O6-1600000)&lt;0,0,IF((O6-1600000)&lt;1600000,0.21*(O6-1600000),336000))</f>
        <v>336000</v>
      </c>
      <c r="U6" s="424">
        <f t="shared" ref="U6:U34" si="10">24%*(O6-3200000)</f>
        <v>4359641.27999999</v>
      </c>
      <c r="V6" s="424">
        <f t="shared" ref="V6:V36" si="11">P6+Q6+R6+S6+T6+U6</f>
        <v>4919641.27999999</v>
      </c>
      <c r="W6" s="431">
        <v>12</v>
      </c>
      <c r="X6" s="424">
        <f t="shared" ref="X6:X36" si="12">V6/W6</f>
        <v>409970.10666666599</v>
      </c>
      <c r="Y6" s="424"/>
      <c r="Z6" s="873">
        <f t="shared" ref="Z6:Z36" si="13">X6</f>
        <v>409970.10666666599</v>
      </c>
      <c r="AA6" s="753">
        <v>350184.01073066698</v>
      </c>
      <c r="AB6" s="753">
        <f t="shared" ref="AB6:AB36" si="14">Z6-AA6</f>
        <v>59786.095935998797</v>
      </c>
      <c r="AC6" s="436"/>
      <c r="AD6" s="436"/>
      <c r="AE6" s="436"/>
    </row>
    <row r="7" spans="1:31" ht="15.75">
      <c r="A7" s="421">
        <v>4</v>
      </c>
      <c r="B7" s="597" t="s">
        <v>27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ref="P7:P36" si="15">IF(O7&lt;300000,0.07*O7,21000)</f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1540720.6118399999</v>
      </c>
      <c r="V7" s="424">
        <f t="shared" si="11"/>
        <v>2100720.6118399999</v>
      </c>
      <c r="W7" s="431">
        <v>12</v>
      </c>
      <c r="X7" s="424">
        <f t="shared" si="12"/>
        <v>175060.05098666699</v>
      </c>
      <c r="Y7" s="424"/>
      <c r="Z7" s="873">
        <f t="shared" si="13"/>
        <v>175060.05098666699</v>
      </c>
      <c r="AA7" s="753">
        <v>149812.26282666699</v>
      </c>
      <c r="AB7" s="753">
        <f t="shared" si="14"/>
        <v>25247.788159999702</v>
      </c>
      <c r="AC7" s="436"/>
      <c r="AD7" s="436"/>
      <c r="AE7" s="436"/>
    </row>
    <row r="8" spans="1:31" ht="15.75">
      <c r="A8" s="421">
        <v>5</v>
      </c>
      <c r="B8" s="593" t="s">
        <v>30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1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2168386.7519999999</v>
      </c>
      <c r="V8" s="424">
        <f t="shared" si="11"/>
        <v>2728386.7519999999</v>
      </c>
      <c r="W8" s="431">
        <v>12</v>
      </c>
      <c r="X8" s="424">
        <f t="shared" si="12"/>
        <v>227365.56266666701</v>
      </c>
      <c r="Y8" s="424"/>
      <c r="Z8" s="873">
        <f t="shared" si="13"/>
        <v>227365.56266666701</v>
      </c>
      <c r="AA8" s="753">
        <v>199922.31466666699</v>
      </c>
      <c r="AB8" s="753">
        <f t="shared" si="14"/>
        <v>27443.247999999701</v>
      </c>
      <c r="AC8" s="436"/>
      <c r="AD8" s="436"/>
      <c r="AE8" s="436"/>
    </row>
    <row r="9" spans="1:31" ht="15.75">
      <c r="A9" s="421">
        <v>6</v>
      </c>
      <c r="B9" s="597" t="s">
        <v>32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1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1485731.64864</v>
      </c>
      <c r="V9" s="424">
        <f t="shared" si="11"/>
        <v>2045731.64864</v>
      </c>
      <c r="W9" s="431">
        <v>12</v>
      </c>
      <c r="X9" s="424">
        <f t="shared" si="12"/>
        <v>170477.63738666699</v>
      </c>
      <c r="Y9" s="424"/>
      <c r="Z9" s="873">
        <f t="shared" si="13"/>
        <v>170477.63738666699</v>
      </c>
      <c r="AA9" s="753">
        <v>147687.52761066699</v>
      </c>
      <c r="AB9" s="753">
        <f t="shared" si="14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34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2250497.6820000098</v>
      </c>
      <c r="M10" s="424">
        <f t="shared" si="3"/>
        <v>2450497.6820000098</v>
      </c>
      <c r="N10" s="424">
        <f t="shared" si="4"/>
        <v>3426116.2720000101</v>
      </c>
      <c r="O10" s="424">
        <f t="shared" si="5"/>
        <v>8801990.7280000299</v>
      </c>
      <c r="P10" s="424">
        <f t="shared" si="1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1344477.7747200101</v>
      </c>
      <c r="V10" s="424">
        <f t="shared" si="11"/>
        <v>1904477.7747200101</v>
      </c>
      <c r="W10" s="431">
        <v>12</v>
      </c>
      <c r="X10" s="424">
        <f t="shared" si="12"/>
        <v>158706.48122666701</v>
      </c>
      <c r="Y10" s="424"/>
      <c r="Z10" s="873">
        <f t="shared" si="13"/>
        <v>158706.48122666701</v>
      </c>
      <c r="AA10" s="753">
        <v>129694.695226667</v>
      </c>
      <c r="AB10" s="753">
        <f t="shared" si="14"/>
        <v>29011.786000000498</v>
      </c>
      <c r="AC10" s="436"/>
      <c r="AD10" s="436"/>
      <c r="AE10" s="436"/>
    </row>
    <row r="11" spans="1:31" ht="15.75">
      <c r="A11" s="421">
        <v>8</v>
      </c>
      <c r="B11" s="597" t="s">
        <v>37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1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1519421.86944</v>
      </c>
      <c r="V11" s="424">
        <f t="shared" si="11"/>
        <v>2079421.86944</v>
      </c>
      <c r="W11" s="431">
        <v>12</v>
      </c>
      <c r="X11" s="424">
        <f t="shared" si="12"/>
        <v>173285.15578666699</v>
      </c>
      <c r="Y11" s="424"/>
      <c r="Z11" s="873">
        <f t="shared" si="13"/>
        <v>173285.15578666699</v>
      </c>
      <c r="AA11" s="753">
        <v>150463.10967466701</v>
      </c>
      <c r="AB11" s="753">
        <f t="shared" si="14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40</v>
      </c>
      <c r="C12" s="422">
        <v>837207.14444444398</v>
      </c>
      <c r="D12" s="423">
        <v>12</v>
      </c>
      <c r="E12" s="424">
        <f t="shared" si="0"/>
        <v>10046485.733333301</v>
      </c>
      <c r="F12" s="424"/>
      <c r="G12" s="424">
        <v>566070.72</v>
      </c>
      <c r="H12" s="424"/>
      <c r="I12" s="424">
        <f t="shared" si="1"/>
        <v>9480415.0133333299</v>
      </c>
      <c r="J12" s="424">
        <v>200000</v>
      </c>
      <c r="K12" s="424">
        <v>0.2</v>
      </c>
      <c r="L12" s="424">
        <f t="shared" si="2"/>
        <v>1896083.0026666699</v>
      </c>
      <c r="M12" s="424">
        <f t="shared" si="3"/>
        <v>2096083.0026666699</v>
      </c>
      <c r="N12" s="424">
        <f t="shared" si="4"/>
        <v>2662153.7226666599</v>
      </c>
      <c r="O12" s="424">
        <f t="shared" si="5"/>
        <v>7384332.01066666</v>
      </c>
      <c r="P12" s="424">
        <f t="shared" si="1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1004239.68256</v>
      </c>
      <c r="V12" s="424">
        <f t="shared" si="11"/>
        <v>1564239.6825600001</v>
      </c>
      <c r="W12" s="431">
        <v>12</v>
      </c>
      <c r="X12" s="424">
        <f t="shared" si="12"/>
        <v>130353.30688</v>
      </c>
      <c r="Y12" s="424"/>
      <c r="Z12" s="873">
        <f t="shared" si="13"/>
        <v>130353.30688</v>
      </c>
      <c r="AA12" s="753">
        <v>77666.445866666705</v>
      </c>
      <c r="AB12" s="753">
        <f t="shared" si="14"/>
        <v>52686.861013333299</v>
      </c>
      <c r="AC12" s="436"/>
      <c r="AD12" s="436"/>
      <c r="AE12" s="436"/>
    </row>
    <row r="13" spans="1:31" ht="15.75">
      <c r="A13" s="421">
        <v>10</v>
      </c>
      <c r="B13" s="593" t="s">
        <v>43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1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1199511.2294399999</v>
      </c>
      <c r="V13" s="424">
        <f t="shared" si="11"/>
        <v>1759511.2294399999</v>
      </c>
      <c r="W13" s="431">
        <v>12</v>
      </c>
      <c r="X13" s="424">
        <f t="shared" si="12"/>
        <v>146625.93578666699</v>
      </c>
      <c r="Y13" s="424"/>
      <c r="Z13" s="873">
        <f t="shared" si="13"/>
        <v>146625.93578666699</v>
      </c>
      <c r="AA13" s="753">
        <v>141011.988957867</v>
      </c>
      <c r="AB13" s="753">
        <f t="shared" si="14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45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1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1265691.7171199999</v>
      </c>
      <c r="V14" s="424">
        <f t="shared" si="11"/>
        <v>1825691.7171199999</v>
      </c>
      <c r="W14" s="431">
        <v>12</v>
      </c>
      <c r="X14" s="424">
        <f t="shared" si="12"/>
        <v>152140.97642666701</v>
      </c>
      <c r="Y14" s="424"/>
      <c r="Z14" s="873">
        <f t="shared" si="13"/>
        <v>152140.97642666701</v>
      </c>
      <c r="AA14" s="753">
        <v>131753.40842666701</v>
      </c>
      <c r="AB14" s="753">
        <f t="shared" si="14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48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1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968809.27487999795</v>
      </c>
      <c r="V15" s="424">
        <f t="shared" si="11"/>
        <v>1528809.2748799999</v>
      </c>
      <c r="W15" s="431">
        <v>12</v>
      </c>
      <c r="X15" s="424">
        <f t="shared" si="12"/>
        <v>127400.772906667</v>
      </c>
      <c r="Y15" s="424"/>
      <c r="Z15" s="873">
        <f t="shared" si="13"/>
        <v>127400.772906667</v>
      </c>
      <c r="AA15" s="753">
        <v>106452</v>
      </c>
      <c r="AB15" s="753">
        <f t="shared" si="14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51</v>
      </c>
      <c r="C16" s="422">
        <v>737468.58064516203</v>
      </c>
      <c r="D16" s="423">
        <v>12</v>
      </c>
      <c r="E16" s="424">
        <f t="shared" si="0"/>
        <v>8849622.9677419402</v>
      </c>
      <c r="F16" s="424"/>
      <c r="G16" s="424">
        <v>519697.27999999898</v>
      </c>
      <c r="H16" s="424"/>
      <c r="I16" s="424">
        <f t="shared" si="1"/>
        <v>8329925.6877419399</v>
      </c>
      <c r="J16" s="424">
        <v>200000</v>
      </c>
      <c r="K16" s="424">
        <v>0.2</v>
      </c>
      <c r="L16" s="424">
        <f t="shared" si="2"/>
        <v>1665985.1375483901</v>
      </c>
      <c r="M16" s="424">
        <f t="shared" si="3"/>
        <v>1865985.1375483901</v>
      </c>
      <c r="N16" s="424">
        <f t="shared" si="4"/>
        <v>2385682.4175483901</v>
      </c>
      <c r="O16" s="424">
        <f t="shared" si="5"/>
        <v>6463940.5501935603</v>
      </c>
      <c r="P16" s="424">
        <f t="shared" si="1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783345.73204645305</v>
      </c>
      <c r="V16" s="424">
        <f t="shared" si="11"/>
        <v>1343345.73204645</v>
      </c>
      <c r="W16" s="431">
        <v>12</v>
      </c>
      <c r="X16" s="424">
        <f t="shared" si="12"/>
        <v>111945.47767053801</v>
      </c>
      <c r="Y16" s="424"/>
      <c r="Z16" s="873">
        <f t="shared" si="13"/>
        <v>111945.47767053801</v>
      </c>
      <c r="AA16" s="753">
        <v>77470.374186666697</v>
      </c>
      <c r="AB16" s="753">
        <f t="shared" si="14"/>
        <v>34475.103483871098</v>
      </c>
      <c r="AC16" s="436"/>
      <c r="AD16" s="436"/>
      <c r="AE16" s="436"/>
    </row>
    <row r="17" spans="1:31" ht="15.75">
      <c r="A17" s="421">
        <v>14</v>
      </c>
      <c r="B17" s="313" t="s">
        <v>54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1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1018815.63744</v>
      </c>
      <c r="V17" s="424">
        <f t="shared" si="11"/>
        <v>1578815.63744</v>
      </c>
      <c r="W17" s="431">
        <v>12</v>
      </c>
      <c r="X17" s="424">
        <f t="shared" si="12"/>
        <v>131567.969786667</v>
      </c>
      <c r="Y17" s="424"/>
      <c r="Z17" s="873">
        <f t="shared" si="13"/>
        <v>131567.969786667</v>
      </c>
      <c r="AA17" s="753">
        <v>113474.903466667</v>
      </c>
      <c r="AB17" s="753">
        <f t="shared" si="14"/>
        <v>18093.066319999602</v>
      </c>
      <c r="AC17" s="436"/>
      <c r="AD17" s="436"/>
      <c r="AE17" s="436"/>
    </row>
    <row r="18" spans="1:31" ht="15.75">
      <c r="A18" s="421">
        <v>15</v>
      </c>
      <c r="B18" s="313" t="s">
        <v>57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1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381810.65951999999</v>
      </c>
      <c r="V18" s="424">
        <f t="shared" si="11"/>
        <v>941810.65951999999</v>
      </c>
      <c r="W18" s="431">
        <v>12</v>
      </c>
      <c r="X18" s="424">
        <f t="shared" si="12"/>
        <v>78484.221626666695</v>
      </c>
      <c r="Y18" s="424"/>
      <c r="Z18" s="873">
        <f t="shared" si="13"/>
        <v>78484.221626666695</v>
      </c>
      <c r="AA18" s="753">
        <v>61040.235306666596</v>
      </c>
      <c r="AB18" s="753">
        <f t="shared" si="14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60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1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514963.03872000001</v>
      </c>
      <c r="V19" s="424">
        <f t="shared" si="11"/>
        <v>1074963.0387200001</v>
      </c>
      <c r="W19" s="431">
        <v>12</v>
      </c>
      <c r="X19" s="424">
        <f t="shared" si="12"/>
        <v>89580.253226666697</v>
      </c>
      <c r="Y19" s="424"/>
      <c r="Z19" s="873">
        <f t="shared" si="13"/>
        <v>89580.253226666697</v>
      </c>
      <c r="AA19" s="753">
        <v>70640.235306666698</v>
      </c>
      <c r="AB19" s="753">
        <f t="shared" si="14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62</v>
      </c>
      <c r="C20" s="422">
        <v>823027.49462365604</v>
      </c>
      <c r="D20" s="423">
        <v>12</v>
      </c>
      <c r="E20" s="424">
        <f t="shared" si="0"/>
        <v>9876329.9354838692</v>
      </c>
      <c r="F20" s="424">
        <v>93328.324999999997</v>
      </c>
      <c r="G20" s="424">
        <v>476637.28</v>
      </c>
      <c r="H20" s="424"/>
      <c r="I20" s="424">
        <f t="shared" si="1"/>
        <v>9306364.3304838706</v>
      </c>
      <c r="J20" s="424">
        <v>200000</v>
      </c>
      <c r="K20" s="424">
        <v>0.2</v>
      </c>
      <c r="L20" s="424">
        <f t="shared" si="2"/>
        <v>1861272.8660967799</v>
      </c>
      <c r="M20" s="424">
        <f t="shared" si="3"/>
        <v>2061272.8660967799</v>
      </c>
      <c r="N20" s="424">
        <f t="shared" si="4"/>
        <v>2631238.4710967802</v>
      </c>
      <c r="O20" s="424">
        <f t="shared" si="5"/>
        <v>7245091.4643871002</v>
      </c>
      <c r="P20" s="424">
        <f t="shared" si="1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970821.95145290403</v>
      </c>
      <c r="V20" s="424">
        <f t="shared" si="11"/>
        <v>1530821.9514529</v>
      </c>
      <c r="W20" s="431">
        <v>12</v>
      </c>
      <c r="X20" s="424">
        <f t="shared" si="12"/>
        <v>127568.49595440899</v>
      </c>
      <c r="Y20" s="424"/>
      <c r="Z20" s="873">
        <f t="shared" si="13"/>
        <v>127568.49595440899</v>
      </c>
      <c r="AA20" s="753">
        <v>106297.15</v>
      </c>
      <c r="AB20" s="753">
        <f t="shared" si="14"/>
        <v>21271.345954408702</v>
      </c>
      <c r="AC20" s="436"/>
      <c r="AD20" s="436"/>
      <c r="AE20" s="436"/>
    </row>
    <row r="21" spans="1:31" ht="15.75">
      <c r="A21" s="421">
        <v>18</v>
      </c>
      <c r="B21" s="597" t="s">
        <v>65</v>
      </c>
      <c r="C21" s="422">
        <v>721571.84946236399</v>
      </c>
      <c r="D21" s="423">
        <v>12</v>
      </c>
      <c r="E21" s="424">
        <f t="shared" si="0"/>
        <v>8658862.1935483702</v>
      </c>
      <c r="F21" s="424"/>
      <c r="G21" s="424">
        <v>463356.16000000102</v>
      </c>
      <c r="H21" s="424"/>
      <c r="I21" s="424">
        <f t="shared" si="1"/>
        <v>8195506.03354837</v>
      </c>
      <c r="J21" s="424">
        <v>200000</v>
      </c>
      <c r="K21" s="424">
        <v>0.2</v>
      </c>
      <c r="L21" s="424">
        <f t="shared" si="2"/>
        <v>1639101.2067096699</v>
      </c>
      <c r="M21" s="424">
        <f t="shared" si="3"/>
        <v>1839101.2067096699</v>
      </c>
      <c r="N21" s="424">
        <f t="shared" si="4"/>
        <v>2302457.3667096701</v>
      </c>
      <c r="O21" s="424">
        <f t="shared" si="5"/>
        <v>6356404.8268386899</v>
      </c>
      <c r="P21" s="424">
        <f t="shared" si="1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757537.15844128595</v>
      </c>
      <c r="V21" s="424">
        <f t="shared" si="11"/>
        <v>1317537.15844129</v>
      </c>
      <c r="W21" s="431">
        <v>12</v>
      </c>
      <c r="X21" s="424">
        <f t="shared" si="12"/>
        <v>109794.76320344101</v>
      </c>
      <c r="Y21" s="424"/>
      <c r="Z21" s="873">
        <f t="shared" si="13"/>
        <v>109794.76320344101</v>
      </c>
      <c r="AA21" s="753">
        <v>82601.204906666695</v>
      </c>
      <c r="AB21" s="753">
        <f t="shared" si="14"/>
        <v>27193.558296773801</v>
      </c>
      <c r="AC21" s="436"/>
      <c r="AD21" s="436"/>
      <c r="AE21" s="436"/>
    </row>
    <row r="22" spans="1:31" ht="15.75">
      <c r="A22" s="421">
        <v>19</v>
      </c>
      <c r="B22" s="593" t="s">
        <v>68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1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839640.79871999903</v>
      </c>
      <c r="V22" s="424">
        <f t="shared" si="11"/>
        <v>1399640.7987200001</v>
      </c>
      <c r="W22" s="431">
        <v>12</v>
      </c>
      <c r="X22" s="424">
        <f t="shared" si="12"/>
        <v>116636.733226667</v>
      </c>
      <c r="Y22" s="424"/>
      <c r="Z22" s="873">
        <f t="shared" si="13"/>
        <v>116636.733226667</v>
      </c>
      <c r="AA22" s="753">
        <v>98711.114666666705</v>
      </c>
      <c r="AB22" s="753">
        <f t="shared" si="14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71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1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401880.79871999897</v>
      </c>
      <c r="V23" s="424">
        <f t="shared" si="11"/>
        <v>961880.79871999903</v>
      </c>
      <c r="W23" s="431">
        <v>12</v>
      </c>
      <c r="X23" s="424">
        <f t="shared" si="12"/>
        <v>80156.733226666605</v>
      </c>
      <c r="Y23" s="424"/>
      <c r="Z23" s="873">
        <f t="shared" si="13"/>
        <v>80156.733226666605</v>
      </c>
      <c r="AA23" s="753">
        <v>62231.114666666697</v>
      </c>
      <c r="AB23" s="753">
        <f t="shared" si="14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73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1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336000</v>
      </c>
      <c r="U24" s="424">
        <f t="shared" si="10"/>
        <v>590936.24831999897</v>
      </c>
      <c r="V24" s="424">
        <f t="shared" si="11"/>
        <v>1150936.24832</v>
      </c>
      <c r="W24" s="431">
        <v>12</v>
      </c>
      <c r="X24" s="424">
        <f t="shared" si="12"/>
        <v>95911.354026666595</v>
      </c>
      <c r="Y24" s="424"/>
      <c r="Z24" s="873">
        <f t="shared" si="13"/>
        <v>95911.354026666595</v>
      </c>
      <c r="AA24" s="753">
        <v>80347.426986666702</v>
      </c>
      <c r="AB24" s="753">
        <f t="shared" si="14"/>
        <v>15563.9270399999</v>
      </c>
      <c r="AC24" s="436"/>
      <c r="AD24" s="436"/>
      <c r="AE24" s="436"/>
    </row>
    <row r="25" spans="1:31" ht="15.75">
      <c r="A25" s="421">
        <v>22</v>
      </c>
      <c r="B25" s="593" t="s">
        <v>76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1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336000</v>
      </c>
      <c r="U25" s="424">
        <f t="shared" si="10"/>
        <v>130136.24831999801</v>
      </c>
      <c r="V25" s="424">
        <f t="shared" si="11"/>
        <v>690136.24831999803</v>
      </c>
      <c r="W25" s="431">
        <v>12</v>
      </c>
      <c r="X25" s="424">
        <f t="shared" si="12"/>
        <v>57511.3540266665</v>
      </c>
      <c r="Y25" s="424"/>
      <c r="Z25" s="873">
        <f t="shared" si="13"/>
        <v>57511.3540266665</v>
      </c>
      <c r="AA25" s="753">
        <v>42537.331946666702</v>
      </c>
      <c r="AB25" s="753">
        <f t="shared" si="14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483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1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336000</v>
      </c>
      <c r="U26" s="424">
        <f t="shared" si="10"/>
        <v>75406.110720000594</v>
      </c>
      <c r="V26" s="424">
        <f t="shared" si="11"/>
        <v>635406.11072000104</v>
      </c>
      <c r="W26" s="431">
        <v>12</v>
      </c>
      <c r="X26" s="424">
        <f t="shared" si="12"/>
        <v>52950.509226666698</v>
      </c>
      <c r="Y26" s="424"/>
      <c r="Z26" s="873">
        <f t="shared" si="13"/>
        <v>52950.509226666698</v>
      </c>
      <c r="AA26" s="753">
        <v>39052.313066666698</v>
      </c>
      <c r="AB26" s="753">
        <f t="shared" si="14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15"/>
        <v>21000</v>
      </c>
      <c r="Q27" s="424">
        <f t="shared" si="6"/>
        <v>33000</v>
      </c>
      <c r="R27" s="424">
        <f t="shared" si="7"/>
        <v>75000</v>
      </c>
      <c r="S27" s="424">
        <f t="shared" si="8"/>
        <v>95000</v>
      </c>
      <c r="T27" s="424">
        <f t="shared" si="9"/>
        <v>336000</v>
      </c>
      <c r="U27" s="424">
        <f t="shared" si="10"/>
        <v>75406.110720000594</v>
      </c>
      <c r="V27" s="424">
        <f t="shared" si="11"/>
        <v>635406.11072000104</v>
      </c>
      <c r="W27" s="431">
        <v>12</v>
      </c>
      <c r="X27" s="424">
        <f t="shared" si="12"/>
        <v>52950.509226666698</v>
      </c>
      <c r="Y27" s="424"/>
      <c r="Z27" s="873">
        <f t="shared" si="13"/>
        <v>52950.509226666698</v>
      </c>
      <c r="AA27" s="753">
        <v>39052.313066666698</v>
      </c>
      <c r="AB27" s="753">
        <f t="shared" si="14"/>
        <v>13898.19616</v>
      </c>
      <c r="AC27" s="436"/>
      <c r="AD27" s="436"/>
      <c r="AE27" s="436"/>
    </row>
    <row r="28" spans="1:31" ht="15.75">
      <c r="A28" s="421">
        <v>25</v>
      </c>
      <c r="B28" s="597" t="s">
        <v>82</v>
      </c>
      <c r="C28" s="422">
        <v>684288.35714285204</v>
      </c>
      <c r="D28" s="423">
        <v>12</v>
      </c>
      <c r="E28" s="424">
        <f t="shared" si="0"/>
        <v>8211460.2857142203</v>
      </c>
      <c r="F28" s="424"/>
      <c r="G28" s="424">
        <v>341107.84000000102</v>
      </c>
      <c r="H28" s="424"/>
      <c r="I28" s="424">
        <f t="shared" si="1"/>
        <v>7870352.4457142204</v>
      </c>
      <c r="J28" s="424">
        <v>200000</v>
      </c>
      <c r="K28" s="424">
        <v>0.2</v>
      </c>
      <c r="L28" s="424">
        <f t="shared" si="2"/>
        <v>1574070.48914284</v>
      </c>
      <c r="M28" s="424">
        <f t="shared" si="3"/>
        <v>1774070.48914284</v>
      </c>
      <c r="N28" s="424">
        <f t="shared" si="4"/>
        <v>2115178.3291428499</v>
      </c>
      <c r="O28" s="424">
        <f t="shared" si="5"/>
        <v>6096281.9565713797</v>
      </c>
      <c r="P28" s="424">
        <f t="shared" si="1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336000</v>
      </c>
      <c r="U28" s="424">
        <f t="shared" si="10"/>
        <v>695107.66957713105</v>
      </c>
      <c r="V28" s="424">
        <f t="shared" si="11"/>
        <v>1255107.6695771299</v>
      </c>
      <c r="W28" s="431">
        <v>12</v>
      </c>
      <c r="X28" s="424">
        <f t="shared" si="12"/>
        <v>104592.30579809401</v>
      </c>
      <c r="Y28" s="424"/>
      <c r="Z28" s="873">
        <f t="shared" si="13"/>
        <v>104592.30579809401</v>
      </c>
      <c r="AA28" s="753">
        <v>45772.313066666698</v>
      </c>
      <c r="AB28" s="753">
        <f t="shared" si="14"/>
        <v>58819.992731427599</v>
      </c>
      <c r="AC28" s="436"/>
      <c r="AD28" s="436"/>
      <c r="AE28" s="436"/>
    </row>
    <row r="29" spans="1:31" ht="15.75">
      <c r="A29" s="421">
        <v>26</v>
      </c>
      <c r="B29" s="313" t="s">
        <v>84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1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336000</v>
      </c>
      <c r="U29" s="424">
        <f t="shared" si="10"/>
        <v>57803.228159998398</v>
      </c>
      <c r="V29" s="424">
        <f t="shared" si="11"/>
        <v>617803.22815999796</v>
      </c>
      <c r="W29" s="431">
        <v>12</v>
      </c>
      <c r="X29" s="424">
        <f t="shared" si="12"/>
        <v>51483.602346666499</v>
      </c>
      <c r="Y29" s="424"/>
      <c r="Z29" s="873">
        <f t="shared" si="13"/>
        <v>51483.602346666499</v>
      </c>
      <c r="AA29" s="753">
        <v>37921.500586666698</v>
      </c>
      <c r="AB29" s="753">
        <f t="shared" si="14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87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1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336000</v>
      </c>
      <c r="U30" s="424">
        <f t="shared" si="10"/>
        <v>40200.345600000503</v>
      </c>
      <c r="V30" s="424">
        <f t="shared" si="11"/>
        <v>600200.3456</v>
      </c>
      <c r="W30" s="431">
        <v>12</v>
      </c>
      <c r="X30" s="424">
        <f t="shared" si="12"/>
        <v>50016.695466666701</v>
      </c>
      <c r="Y30" s="424"/>
      <c r="Z30" s="873">
        <f t="shared" si="13"/>
        <v>50016.695466666701</v>
      </c>
      <c r="AA30" s="753">
        <v>36790.688106666697</v>
      </c>
      <c r="AB30" s="753">
        <f t="shared" si="14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6026978.1935483599</v>
      </c>
      <c r="F31" s="424"/>
      <c r="G31" s="425">
        <v>325163.200000001</v>
      </c>
      <c r="H31" s="424"/>
      <c r="I31" s="424">
        <f t="shared" si="1"/>
        <v>5701814.9935483597</v>
      </c>
      <c r="J31" s="424">
        <v>200000</v>
      </c>
      <c r="K31" s="424">
        <v>0.2</v>
      </c>
      <c r="L31" s="424">
        <f t="shared" si="2"/>
        <v>1140362.99870967</v>
      </c>
      <c r="M31" s="424">
        <f t="shared" si="3"/>
        <v>1340362.99870967</v>
      </c>
      <c r="N31" s="424">
        <f t="shared" si="4"/>
        <v>1665526.19870967</v>
      </c>
      <c r="O31" s="424">
        <f t="shared" si="5"/>
        <v>4361451.9948386904</v>
      </c>
      <c r="P31" s="424">
        <f t="shared" si="1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336000</v>
      </c>
      <c r="U31" s="424">
        <f t="shared" si="10"/>
        <v>278748.47876128601</v>
      </c>
      <c r="V31" s="424">
        <f t="shared" si="11"/>
        <v>838748.47876128601</v>
      </c>
      <c r="W31" s="431">
        <v>12</v>
      </c>
      <c r="X31" s="424">
        <f t="shared" si="12"/>
        <v>69895.706563440501</v>
      </c>
      <c r="Y31" s="424"/>
      <c r="Z31" s="873">
        <f t="shared" si="13"/>
        <v>69895.706563440501</v>
      </c>
      <c r="AA31" s="753">
        <v>36790.688106666697</v>
      </c>
      <c r="AB31" s="753">
        <f t="shared" si="14"/>
        <v>33105.018456773803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5609074.3225806197</v>
      </c>
      <c r="F32" s="424"/>
      <c r="G32" s="425">
        <v>341107.84000000102</v>
      </c>
      <c r="H32" s="424"/>
      <c r="I32" s="424">
        <f t="shared" si="1"/>
        <v>5267966.4825806199</v>
      </c>
      <c r="J32" s="424">
        <v>200000</v>
      </c>
      <c r="K32" s="424">
        <v>0.2</v>
      </c>
      <c r="L32" s="424">
        <f t="shared" si="2"/>
        <v>1053593.29651612</v>
      </c>
      <c r="M32" s="424">
        <f t="shared" si="3"/>
        <v>1253593.29651612</v>
      </c>
      <c r="N32" s="424">
        <f t="shared" si="4"/>
        <v>1594701.1365161301</v>
      </c>
      <c r="O32" s="424">
        <f t="shared" si="5"/>
        <v>4014373.1860644999</v>
      </c>
      <c r="P32" s="424">
        <f t="shared" si="1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336000</v>
      </c>
      <c r="U32" s="424">
        <f t="shared" si="10"/>
        <v>195449.56465547899</v>
      </c>
      <c r="V32" s="424">
        <f t="shared" si="11"/>
        <v>755449.56465547904</v>
      </c>
      <c r="W32" s="431">
        <v>12</v>
      </c>
      <c r="X32" s="424">
        <f t="shared" si="12"/>
        <v>62954.130387956597</v>
      </c>
      <c r="Y32" s="424"/>
      <c r="Z32" s="873">
        <f t="shared" si="13"/>
        <v>62954.130387956597</v>
      </c>
      <c r="AA32" s="753">
        <v>39052.313066666698</v>
      </c>
      <c r="AB32" s="753">
        <f t="shared" si="14"/>
        <v>23901.817321289898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15"/>
        <v>21000</v>
      </c>
      <c r="Q33" s="424">
        <f t="shared" si="6"/>
        <v>33000</v>
      </c>
      <c r="R33" s="424">
        <f t="shared" si="7"/>
        <v>75000</v>
      </c>
      <c r="S33" s="424">
        <f t="shared" si="8"/>
        <v>95000</v>
      </c>
      <c r="T33" s="424">
        <f t="shared" si="9"/>
        <v>336000</v>
      </c>
      <c r="U33" s="424">
        <f t="shared" si="10"/>
        <v>37138.9747200005</v>
      </c>
      <c r="V33" s="424">
        <f t="shared" si="11"/>
        <v>597138.97472000099</v>
      </c>
      <c r="W33" s="431">
        <v>12</v>
      </c>
      <c r="X33" s="424">
        <f t="shared" si="12"/>
        <v>49761.581226666698</v>
      </c>
      <c r="Y33" s="424"/>
      <c r="Z33" s="873">
        <f t="shared" si="13"/>
        <v>49761.581226666698</v>
      </c>
      <c r="AA33" s="753">
        <v>36790.688106666697</v>
      </c>
      <c r="AB33" s="753">
        <f t="shared" si="14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95</v>
      </c>
      <c r="C34" s="424">
        <v>484992.096774192</v>
      </c>
      <c r="D34" s="423">
        <v>12</v>
      </c>
      <c r="E34" s="424">
        <f t="shared" si="0"/>
        <v>5819905.1612903001</v>
      </c>
      <c r="F34" s="424"/>
      <c r="G34" s="425">
        <v>341107.84000000102</v>
      </c>
      <c r="H34" s="424"/>
      <c r="I34" s="424">
        <f t="shared" si="1"/>
        <v>5478797.3212903002</v>
      </c>
      <c r="J34" s="424">
        <v>200000</v>
      </c>
      <c r="K34" s="424">
        <v>0.2</v>
      </c>
      <c r="L34" s="424">
        <f t="shared" si="2"/>
        <v>1095759.4642580601</v>
      </c>
      <c r="M34" s="424">
        <f t="shared" si="3"/>
        <v>1295759.4642580601</v>
      </c>
      <c r="N34" s="424">
        <f t="shared" si="4"/>
        <v>1636867.3042580599</v>
      </c>
      <c r="O34" s="424">
        <f t="shared" si="5"/>
        <v>4183037.8570322399</v>
      </c>
      <c r="P34" s="424">
        <f t="shared" si="15"/>
        <v>21000</v>
      </c>
      <c r="Q34" s="424">
        <f t="shared" si="6"/>
        <v>33000</v>
      </c>
      <c r="R34" s="424">
        <f t="shared" si="7"/>
        <v>75000</v>
      </c>
      <c r="S34" s="424">
        <f t="shared" si="8"/>
        <v>95000</v>
      </c>
      <c r="T34" s="424">
        <f t="shared" si="9"/>
        <v>336000</v>
      </c>
      <c r="U34" s="424">
        <f t="shared" si="10"/>
        <v>235929.085687738</v>
      </c>
      <c r="V34" s="424">
        <f t="shared" si="11"/>
        <v>795929.08568773803</v>
      </c>
      <c r="W34" s="431">
        <v>12</v>
      </c>
      <c r="X34" s="424">
        <f t="shared" si="12"/>
        <v>66327.423807311498</v>
      </c>
      <c r="Y34" s="424"/>
      <c r="Z34" s="873">
        <f t="shared" si="13"/>
        <v>66327.423807311498</v>
      </c>
      <c r="AA34" s="753">
        <v>36790.688106666697</v>
      </c>
      <c r="AB34" s="753">
        <f t="shared" si="14"/>
        <v>29536.7357006448</v>
      </c>
      <c r="AC34" s="436"/>
      <c r="AD34" s="436"/>
      <c r="AE34" s="436"/>
    </row>
    <row r="35" spans="1:31" ht="15.75">
      <c r="A35" s="421">
        <v>33</v>
      </c>
      <c r="B35" s="313" t="s">
        <v>103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15"/>
        <v>21000</v>
      </c>
      <c r="Q35" s="424">
        <f t="shared" si="6"/>
        <v>33000</v>
      </c>
      <c r="R35" s="424">
        <f t="shared" si="7"/>
        <v>75000</v>
      </c>
      <c r="S35" s="424">
        <f t="shared" si="8"/>
        <v>95000</v>
      </c>
      <c r="T35" s="424">
        <f t="shared" si="9"/>
        <v>282759.90623999998</v>
      </c>
      <c r="U35" s="424"/>
      <c r="V35" s="424">
        <f t="shared" si="11"/>
        <v>506759.90623999998</v>
      </c>
      <c r="W35" s="424">
        <v>12</v>
      </c>
      <c r="X35" s="424">
        <f t="shared" si="12"/>
        <v>42229.992186666699</v>
      </c>
      <c r="Y35" s="424"/>
      <c r="Z35" s="873">
        <f t="shared" si="13"/>
        <v>42229.992186666699</v>
      </c>
      <c r="AA35" s="424">
        <v>30259.165626666701</v>
      </c>
      <c r="AB35" s="753">
        <f t="shared" si="14"/>
        <v>11970.82656</v>
      </c>
      <c r="AC35" s="436"/>
      <c r="AD35" s="436"/>
      <c r="AE35" s="436"/>
    </row>
    <row r="36" spans="1:31" ht="31.5">
      <c r="A36" s="421">
        <v>34</v>
      </c>
      <c r="B36" s="313" t="s">
        <v>106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15"/>
        <v>21000</v>
      </c>
      <c r="Q36" s="424">
        <f t="shared" si="6"/>
        <v>33000</v>
      </c>
      <c r="R36" s="424">
        <f t="shared" si="7"/>
        <v>75000</v>
      </c>
      <c r="S36" s="424">
        <f t="shared" si="8"/>
        <v>95000</v>
      </c>
      <c r="T36" s="424">
        <f t="shared" si="9"/>
        <v>269758.47360000102</v>
      </c>
      <c r="U36" s="424"/>
      <c r="V36" s="424">
        <f t="shared" si="11"/>
        <v>493758.47360000102</v>
      </c>
      <c r="W36" s="424">
        <v>12</v>
      </c>
      <c r="X36" s="424">
        <f t="shared" si="12"/>
        <v>41146.539466666698</v>
      </c>
      <c r="Y36" s="424"/>
      <c r="Z36" s="873">
        <f t="shared" si="13"/>
        <v>41146.539466666698</v>
      </c>
      <c r="AA36" s="753">
        <v>29305.195546666699</v>
      </c>
      <c r="AB36" s="753">
        <f t="shared" si="14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122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127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129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7496620.8666666402</v>
      </c>
      <c r="J41" s="424">
        <v>200000</v>
      </c>
      <c r="K41" s="424">
        <v>0.2</v>
      </c>
      <c r="L41" s="424">
        <f t="shared" si="18"/>
        <v>1499324.1733333301</v>
      </c>
      <c r="M41" s="424">
        <f t="shared" si="19"/>
        <v>1699324.1733333301</v>
      </c>
      <c r="N41" s="424">
        <f t="shared" si="20"/>
        <v>2073854.57333333</v>
      </c>
      <c r="O41" s="424">
        <f t="shared" si="21"/>
        <v>5797296.6933333101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623351.20639999502</v>
      </c>
      <c r="V41" s="424">
        <f t="shared" si="28"/>
        <v>1183351.20639999</v>
      </c>
      <c r="W41" s="431">
        <v>12</v>
      </c>
      <c r="X41" s="424">
        <f t="shared" si="29"/>
        <v>98612.600533332894</v>
      </c>
      <c r="Y41" s="424"/>
      <c r="Z41" s="873">
        <f t="shared" si="30"/>
        <v>98612.600533332894</v>
      </c>
      <c r="AA41" s="753">
        <v>43763.907226666699</v>
      </c>
      <c r="AB41" s="753">
        <f t="shared" si="31"/>
        <v>54848.693306666202</v>
      </c>
      <c r="AC41" s="436"/>
      <c r="AD41" s="436"/>
      <c r="AE41" s="436"/>
    </row>
    <row r="42" spans="1:31" ht="15.75">
      <c r="A42" s="421"/>
      <c r="B42" s="597" t="s">
        <v>133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137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138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319502.658986667</v>
      </c>
      <c r="Y45" s="424"/>
      <c r="Z45" s="873">
        <f t="shared" ref="Z45:Z52" si="45">X45</f>
        <v>319502.658986667</v>
      </c>
      <c r="AA45" s="753">
        <v>162999.59</v>
      </c>
      <c r="AB45" s="753">
        <f t="shared" ref="AB45:AB52" si="46">Z45-AA45</f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141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164591.786666667</v>
      </c>
      <c r="Y47" s="427"/>
      <c r="Z47" s="873">
        <f t="shared" si="45"/>
        <v>164591.786666667</v>
      </c>
      <c r="AA47" s="753">
        <v>118861.965706667</v>
      </c>
      <c r="AB47" s="753">
        <f t="shared" si="46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155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157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158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160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163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164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171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7447035.7096774001</v>
      </c>
      <c r="F64" s="424"/>
      <c r="G64" s="425">
        <v>463356.16000000102</v>
      </c>
      <c r="H64" s="427"/>
      <c r="I64" s="424">
        <f t="shared" si="49"/>
        <v>6983679.5496773999</v>
      </c>
      <c r="J64" s="424">
        <v>200000</v>
      </c>
      <c r="K64" s="424">
        <v>0.2</v>
      </c>
      <c r="L64" s="424">
        <f t="shared" si="50"/>
        <v>1396735.90993548</v>
      </c>
      <c r="M64" s="424">
        <f t="shared" si="51"/>
        <v>1596735.90993548</v>
      </c>
      <c r="N64" s="424">
        <f t="shared" si="52"/>
        <v>2060092.0699354799</v>
      </c>
      <c r="O64" s="424">
        <f t="shared" si="53"/>
        <v>5386943.6397419199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524866.47353805997</v>
      </c>
      <c r="V64" s="424">
        <f t="shared" si="60"/>
        <v>1084866.47353806</v>
      </c>
      <c r="W64" s="431">
        <v>12</v>
      </c>
      <c r="X64" s="424">
        <f t="shared" si="61"/>
        <v>90405.539461505003</v>
      </c>
      <c r="Y64" s="427"/>
      <c r="Z64" s="873">
        <f t="shared" si="62"/>
        <v>90405.539461505003</v>
      </c>
      <c r="AA64" s="753">
        <v>66538.068906666696</v>
      </c>
      <c r="AB64" s="753">
        <f t="shared" si="63"/>
        <v>23867.470554838299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182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183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187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189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196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200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202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205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207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210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211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</v>
      </c>
      <c r="M79" s="424">
        <f t="shared" si="83"/>
        <v>1768428.872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689691.71712000004</v>
      </c>
      <c r="V79" s="424">
        <f t="shared" si="92"/>
        <v>1249691.7171199999</v>
      </c>
      <c r="W79" s="431">
        <v>12</v>
      </c>
      <c r="X79" s="424">
        <f t="shared" si="93"/>
        <v>104140.976426667</v>
      </c>
      <c r="Y79" s="427"/>
      <c r="Z79" s="873">
        <f t="shared" si="94"/>
        <v>104140.976426667</v>
      </c>
      <c r="AA79" s="424">
        <v>83767.87</v>
      </c>
      <c r="AB79" s="753">
        <f t="shared" si="95"/>
        <v>20373.106426666702</v>
      </c>
      <c r="AC79" s="436"/>
      <c r="AD79" s="436"/>
      <c r="AE79" s="436"/>
    </row>
    <row r="80" spans="1:31" ht="15.75">
      <c r="A80" s="421">
        <v>72</v>
      </c>
      <c r="B80" s="597" t="s">
        <v>212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1547568.0649999999</v>
      </c>
      <c r="M80" s="424">
        <f t="shared" si="83"/>
        <v>1747568.0649999999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102472.11186666699</v>
      </c>
      <c r="Y80" s="427"/>
      <c r="Z80" s="873">
        <f t="shared" si="94"/>
        <v>102472.11186666699</v>
      </c>
      <c r="AA80" s="424">
        <v>83753.408426666603</v>
      </c>
      <c r="AB80" s="753">
        <f t="shared" si="95"/>
        <v>18718.703440000099</v>
      </c>
      <c r="AC80" s="436"/>
      <c r="AD80" s="436"/>
      <c r="AE80" s="436"/>
    </row>
    <row r="81" spans="1:31" ht="31.5">
      <c r="A81" s="421">
        <v>73</v>
      </c>
      <c r="B81" s="597" t="s">
        <v>213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1216315.7657600001</v>
      </c>
      <c r="W81" s="431">
        <v>12</v>
      </c>
      <c r="X81" s="424">
        <f t="shared" si="93"/>
        <v>101359.647146667</v>
      </c>
      <c r="Y81" s="427"/>
      <c r="Z81" s="873">
        <f t="shared" si="94"/>
        <v>101359.647146667</v>
      </c>
      <c r="AA81" s="424">
        <v>81302.3959466667</v>
      </c>
      <c r="AB81" s="753">
        <f t="shared" si="95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215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216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220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224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226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227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1978497.2720000001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7713989.0880000005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1083357.38112</v>
      </c>
      <c r="V90" s="424">
        <f t="shared" si="108"/>
        <v>1643357.38112</v>
      </c>
      <c r="W90" s="431">
        <v>12</v>
      </c>
      <c r="X90" s="424">
        <f t="shared" si="109"/>
        <v>136946.44842666699</v>
      </c>
      <c r="Y90" s="427"/>
      <c r="Z90" s="873">
        <f t="shared" si="110"/>
        <v>136946.44842666699</v>
      </c>
      <c r="AA90" s="753">
        <v>72764.420906666695</v>
      </c>
      <c r="AB90" s="753">
        <f t="shared" si="111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433130.21753806103</v>
      </c>
      <c r="V92" s="424">
        <f t="shared" si="108"/>
        <v>993130.21753806097</v>
      </c>
      <c r="W92" s="431">
        <v>12</v>
      </c>
      <c r="X92" s="424">
        <f t="shared" si="109"/>
        <v>82760.851461505095</v>
      </c>
      <c r="Y92" s="427"/>
      <c r="Z92" s="873">
        <f t="shared" si="110"/>
        <v>82760.851461505095</v>
      </c>
      <c r="AA92" s="753">
        <v>56938.068906666696</v>
      </c>
      <c r="AB92" s="753">
        <f t="shared" si="111"/>
        <v>25822.782554838399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628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</v>
      </c>
      <c r="J98" s="424">
        <v>200000</v>
      </c>
      <c r="K98" s="424">
        <v>0.2</v>
      </c>
      <c r="L98" s="424">
        <f t="shared" si="114"/>
        <v>1656802.2420000001</v>
      </c>
      <c r="M98" s="424">
        <f t="shared" si="115"/>
        <v>1856802.2420000001</v>
      </c>
      <c r="N98" s="424">
        <f t="shared" si="116"/>
        <v>2477818.7719999999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774530.15231999999</v>
      </c>
      <c r="V98" s="424">
        <f t="shared" si="124"/>
        <v>1334530.1523200001</v>
      </c>
      <c r="W98" s="431">
        <v>12</v>
      </c>
      <c r="X98" s="424">
        <f t="shared" si="125"/>
        <v>111210.846026667</v>
      </c>
      <c r="Y98" s="427"/>
      <c r="Z98" s="873">
        <f t="shared" si="126"/>
        <v>111210.846026667</v>
      </c>
      <c r="AA98" s="753">
        <v>87575.782703466699</v>
      </c>
      <c r="AB98" s="753">
        <f t="shared" si="127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</v>
      </c>
      <c r="J99" s="424">
        <v>200000</v>
      </c>
      <c r="K99" s="424">
        <v>0.2</v>
      </c>
      <c r="L99" s="424">
        <f t="shared" si="114"/>
        <v>1677066.0919999999</v>
      </c>
      <c r="M99" s="424">
        <f t="shared" si="115"/>
        <v>1877066.0919999999</v>
      </c>
      <c r="N99" s="424">
        <f t="shared" si="116"/>
        <v>2396763.372</v>
      </c>
      <c r="O99" s="424">
        <f t="shared" si="117"/>
        <v>6508264.3679999998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793983.44831999997</v>
      </c>
      <c r="V99" s="424">
        <f t="shared" si="124"/>
        <v>1353983.44832</v>
      </c>
      <c r="W99" s="431">
        <v>12</v>
      </c>
      <c r="X99" s="424">
        <f t="shared" si="125"/>
        <v>112831.95402666699</v>
      </c>
      <c r="Y99" s="427"/>
      <c r="Z99" s="873">
        <f t="shared" si="126"/>
        <v>112831.95402666699</v>
      </c>
      <c r="AA99" s="753">
        <v>87392.5495444267</v>
      </c>
      <c r="AB99" s="753">
        <f t="shared" si="127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5594939.5499999998</v>
      </c>
      <c r="F100" s="424"/>
      <c r="G100" s="425">
        <v>316752.40000000101</v>
      </c>
      <c r="H100" s="427"/>
      <c r="I100" s="424">
        <f t="shared" si="113"/>
        <v>5278187.1500000004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</v>
      </c>
      <c r="O100" s="424">
        <f t="shared" si="117"/>
        <v>4022549.72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197411.93280000001</v>
      </c>
      <c r="V100" s="424">
        <f t="shared" si="124"/>
        <v>757411.93279999995</v>
      </c>
      <c r="W100" s="431">
        <v>12</v>
      </c>
      <c r="X100" s="424">
        <f t="shared" si="125"/>
        <v>63117.661066666697</v>
      </c>
      <c r="Y100" s="427"/>
      <c r="Z100" s="873">
        <f t="shared" si="126"/>
        <v>63117.661066666697</v>
      </c>
      <c r="AA100" s="753">
        <v>46740.264902826697</v>
      </c>
      <c r="AB100" s="753">
        <f t="shared" si="127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</v>
      </c>
      <c r="J101" s="424">
        <v>200000</v>
      </c>
      <c r="K101" s="424">
        <v>0.2</v>
      </c>
      <c r="L101" s="424">
        <f t="shared" si="114"/>
        <v>1056766.31</v>
      </c>
      <c r="M101" s="424">
        <f t="shared" si="115"/>
        <v>1256766.31</v>
      </c>
      <c r="N101" s="424">
        <f t="shared" si="116"/>
        <v>1573957.11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198495.65760000001</v>
      </c>
      <c r="V101" s="424">
        <f t="shared" si="124"/>
        <v>758495.65760000004</v>
      </c>
      <c r="W101" s="431">
        <v>12</v>
      </c>
      <c r="X101" s="424">
        <f t="shared" si="125"/>
        <v>63207.971466666699</v>
      </c>
      <c r="Y101" s="427"/>
      <c r="Z101" s="873">
        <f t="shared" si="126"/>
        <v>63207.971466666699</v>
      </c>
      <c r="AA101" s="753">
        <v>87883.38</v>
      </c>
      <c r="AB101" s="753">
        <f t="shared" si="127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5018259.4400000004</v>
      </c>
      <c r="J102" s="424">
        <v>200000</v>
      </c>
      <c r="K102" s="424">
        <v>0.2</v>
      </c>
      <c r="L102" s="424">
        <f t="shared" si="114"/>
        <v>1003651.888</v>
      </c>
      <c r="M102" s="424">
        <f t="shared" si="115"/>
        <v>1203651.888</v>
      </c>
      <c r="N102" s="424">
        <f t="shared" si="116"/>
        <v>1500215.7279999999</v>
      </c>
      <c r="O102" s="424">
        <f t="shared" si="117"/>
        <v>3814607.5520000001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147505.81247999999</v>
      </c>
      <c r="V102" s="424">
        <f t="shared" si="124"/>
        <v>707505.81247999996</v>
      </c>
      <c r="W102" s="431">
        <v>12</v>
      </c>
      <c r="X102" s="424">
        <f t="shared" si="125"/>
        <v>58958.817706666698</v>
      </c>
      <c r="Y102" s="427"/>
      <c r="Z102" s="873">
        <f t="shared" si="126"/>
        <v>58958.817706666698</v>
      </c>
      <c r="AA102" s="753">
        <v>43740.256541426701</v>
      </c>
      <c r="AB102" s="753">
        <f t="shared" si="127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484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192</v>
      </c>
      <c r="C107" s="430">
        <v>981346.58333333395</v>
      </c>
      <c r="D107" s="423">
        <v>12</v>
      </c>
      <c r="E107" s="424">
        <f t="shared" si="129"/>
        <v>11776159</v>
      </c>
      <c r="F107" s="424">
        <v>90896.225000000093</v>
      </c>
      <c r="G107" s="425">
        <v>463532.72</v>
      </c>
      <c r="H107" s="427"/>
      <c r="I107" s="424">
        <f t="shared" si="130"/>
        <v>11221730.055</v>
      </c>
      <c r="J107" s="424">
        <v>200000</v>
      </c>
      <c r="K107" s="424">
        <v>0.2</v>
      </c>
      <c r="L107" s="424">
        <f t="shared" si="131"/>
        <v>2244346.0109999999</v>
      </c>
      <c r="M107" s="424">
        <f t="shared" si="132"/>
        <v>2444346.0109999999</v>
      </c>
      <c r="N107" s="424">
        <f t="shared" si="133"/>
        <v>2998774.9559999998</v>
      </c>
      <c r="O107" s="424">
        <f t="shared" si="134"/>
        <v>8777384.0440000091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</v>
      </c>
      <c r="V107" s="424">
        <f t="shared" si="141"/>
        <v>1898572.17056</v>
      </c>
      <c r="W107" s="431">
        <v>12</v>
      </c>
      <c r="X107" s="424">
        <f t="shared" si="142"/>
        <v>158214.34754666701</v>
      </c>
      <c r="Y107" s="427"/>
      <c r="Z107" s="873">
        <f t="shared" si="143"/>
        <v>158214.34754666701</v>
      </c>
      <c r="AA107" s="753">
        <v>59711.115255466699</v>
      </c>
      <c r="AB107" s="753">
        <f t="shared" si="144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679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273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</v>
      </c>
      <c r="F117" s="424">
        <v>157015.95000000001</v>
      </c>
      <c r="G117" s="425">
        <v>818602.63999999897</v>
      </c>
      <c r="H117" s="427"/>
      <c r="I117" s="424">
        <f t="shared" si="146"/>
        <v>12212488.41</v>
      </c>
      <c r="J117" s="424">
        <v>200000</v>
      </c>
      <c r="K117" s="424">
        <v>0.2</v>
      </c>
      <c r="L117" s="424">
        <f t="shared" si="147"/>
        <v>2442497.6820000098</v>
      </c>
      <c r="M117" s="424">
        <f t="shared" si="148"/>
        <v>2642497.6820000098</v>
      </c>
      <c r="N117" s="424">
        <f t="shared" si="149"/>
        <v>3618116.2720000101</v>
      </c>
      <c r="O117" s="424">
        <f t="shared" si="150"/>
        <v>9569990.7280000299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1528797.7747200101</v>
      </c>
      <c r="V117" s="424">
        <f t="shared" si="156"/>
        <v>2088797.7747200101</v>
      </c>
      <c r="W117" s="431">
        <v>12</v>
      </c>
      <c r="X117" s="424">
        <f t="shared" si="157"/>
        <v>174066.48122666701</v>
      </c>
      <c r="Y117" s="427"/>
      <c r="Z117" s="873">
        <f t="shared" si="158"/>
        <v>174066.48122666701</v>
      </c>
      <c r="AA117" s="753">
        <v>145172.65</v>
      </c>
      <c r="AB117" s="753">
        <f t="shared" si="159"/>
        <v>28893.831226667298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467422.86021505197</v>
      </c>
      <c r="D121" s="423">
        <v>12</v>
      </c>
      <c r="E121" s="424">
        <f t="shared" si="145"/>
        <v>5609074.3225806197</v>
      </c>
      <c r="F121" s="430"/>
      <c r="G121" s="425">
        <v>341107.84000000102</v>
      </c>
      <c r="H121" s="427"/>
      <c r="I121" s="424">
        <f t="shared" si="146"/>
        <v>5267966.4825806199</v>
      </c>
      <c r="J121" s="424">
        <v>200000</v>
      </c>
      <c r="K121" s="424">
        <v>0.2</v>
      </c>
      <c r="L121" s="424">
        <f t="shared" si="147"/>
        <v>1053593.29651612</v>
      </c>
      <c r="M121" s="424">
        <f t="shared" si="148"/>
        <v>1253593.29651612</v>
      </c>
      <c r="N121" s="424">
        <f t="shared" si="149"/>
        <v>1594701.1365161301</v>
      </c>
      <c r="O121" s="424">
        <f t="shared" si="150"/>
        <v>4014373.1860644999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195449.56465547899</v>
      </c>
      <c r="V121" s="424">
        <f t="shared" si="156"/>
        <v>755449.56465547904</v>
      </c>
      <c r="W121" s="431">
        <v>12</v>
      </c>
      <c r="X121" s="424">
        <f t="shared" si="157"/>
        <v>62954.130387956597</v>
      </c>
      <c r="Y121" s="427"/>
      <c r="Z121" s="873">
        <f t="shared" si="158"/>
        <v>62954.130387956597</v>
      </c>
      <c r="AA121" s="753">
        <v>39052.313066666698</v>
      </c>
      <c r="AB121" s="753">
        <f t="shared" si="159"/>
        <v>23901.817321289898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120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6395506.0335483802</v>
      </c>
      <c r="J135" s="424">
        <v>200000</v>
      </c>
      <c r="K135" s="424">
        <v>0.2</v>
      </c>
      <c r="L135" s="424">
        <f t="shared" si="163"/>
        <v>1279101.2067096799</v>
      </c>
      <c r="M135" s="424">
        <f t="shared" si="164"/>
        <v>1479101.2067096799</v>
      </c>
      <c r="N135" s="424">
        <f t="shared" si="165"/>
        <v>1942457.3667096801</v>
      </c>
      <c r="O135" s="424">
        <f t="shared" si="166"/>
        <v>4916404.8268387001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411937.15844128898</v>
      </c>
      <c r="V135" s="424">
        <f t="shared" si="173"/>
        <v>971937.15844128898</v>
      </c>
      <c r="W135" s="431">
        <v>12</v>
      </c>
      <c r="X135" s="424">
        <f t="shared" si="174"/>
        <v>80994.7632034407</v>
      </c>
      <c r="Y135" s="427"/>
      <c r="Z135" s="873">
        <f t="shared" si="175"/>
        <v>80994.7632034407</v>
      </c>
      <c r="AA135" s="753">
        <v>56938.068906666696</v>
      </c>
      <c r="AB135" s="753">
        <f t="shared" si="176"/>
        <v>24056.694296774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5014865.6493333196</v>
      </c>
      <c r="F142" s="424"/>
      <c r="G142" s="425">
        <v>333135.52</v>
      </c>
      <c r="H142" s="427"/>
      <c r="I142" s="424">
        <f t="shared" si="162"/>
        <v>4681730.1293333201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1136346.0258666601</v>
      </c>
      <c r="N142" s="424">
        <f t="shared" si="165"/>
        <v>1469481.5458666601</v>
      </c>
      <c r="O142" s="424">
        <f t="shared" si="166"/>
        <v>3545384.1034666598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82892.184831998195</v>
      </c>
      <c r="V142" s="424">
        <f t="shared" si="173"/>
        <v>642892.18483199796</v>
      </c>
      <c r="W142" s="431">
        <v>12</v>
      </c>
      <c r="X142" s="424">
        <f t="shared" si="174"/>
        <v>53574.348735999803</v>
      </c>
      <c r="Y142" s="427"/>
      <c r="Z142" s="873">
        <f t="shared" si="175"/>
        <v>53574.348735999803</v>
      </c>
      <c r="AA142" s="753">
        <v>37921.500586666698</v>
      </c>
      <c r="AB142" s="753">
        <f t="shared" si="176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7526909.9999999898</v>
      </c>
      <c r="F143" s="424"/>
      <c r="G143" s="425">
        <v>438302.16</v>
      </c>
      <c r="H143" s="427"/>
      <c r="I143" s="424">
        <f t="shared" si="162"/>
        <v>7088607.8399999896</v>
      </c>
      <c r="J143" s="424">
        <v>200000</v>
      </c>
      <c r="K143" s="424">
        <v>0.2</v>
      </c>
      <c r="L143" s="424">
        <f t="shared" si="163"/>
        <v>1417721.568</v>
      </c>
      <c r="M143" s="424">
        <f t="shared" si="164"/>
        <v>1617721.568</v>
      </c>
      <c r="N143" s="424">
        <f t="shared" si="165"/>
        <v>2056023.7279999999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545012.70527999802</v>
      </c>
      <c r="V143" s="424">
        <f t="shared" si="173"/>
        <v>1105012.7052800001</v>
      </c>
      <c r="W143" s="431">
        <v>12</v>
      </c>
      <c r="X143" s="424">
        <f t="shared" si="174"/>
        <v>92084.392106666506</v>
      </c>
      <c r="Y143" s="427"/>
      <c r="Z143" s="873">
        <f t="shared" si="175"/>
        <v>92084.392106666506</v>
      </c>
      <c r="AA143" s="753">
        <v>44990.482506666704</v>
      </c>
      <c r="AB143" s="753">
        <f t="shared" si="176"/>
        <v>47093.909599999803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1087459.7223225799</v>
      </c>
      <c r="M144" s="424">
        <f t="shared" si="164"/>
        <v>1287459.7223225799</v>
      </c>
      <c r="N144" s="424">
        <f t="shared" si="165"/>
        <v>1628567.56232258</v>
      </c>
      <c r="O144" s="424">
        <f t="shared" si="166"/>
        <v>4149838.8892903002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227961.33342967299</v>
      </c>
      <c r="V144" s="424">
        <f t="shared" si="173"/>
        <v>787961.33342967299</v>
      </c>
      <c r="W144" s="431">
        <v>12</v>
      </c>
      <c r="X144" s="424">
        <f t="shared" si="174"/>
        <v>65663.444452472701</v>
      </c>
      <c r="Y144" s="427"/>
      <c r="Z144" s="873">
        <f t="shared" si="175"/>
        <v>65663.444452472701</v>
      </c>
      <c r="AA144" s="753">
        <v>39052.313066666698</v>
      </c>
      <c r="AB144" s="753">
        <f t="shared" si="176"/>
        <v>26611.131385805998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540384.97777777701</v>
      </c>
      <c r="D145" s="423">
        <v>12</v>
      </c>
      <c r="E145" s="424">
        <f t="shared" si="161"/>
        <v>6484619.7333333204</v>
      </c>
      <c r="F145" s="424">
        <v>92670.45</v>
      </c>
      <c r="G145" s="425">
        <v>438302.16</v>
      </c>
      <c r="H145" s="427"/>
      <c r="I145" s="424">
        <f t="shared" si="162"/>
        <v>5953647.12333332</v>
      </c>
      <c r="J145" s="424">
        <v>200000</v>
      </c>
      <c r="K145" s="424">
        <v>0.2</v>
      </c>
      <c r="L145" s="424">
        <f t="shared" si="163"/>
        <v>1190729.4246666599</v>
      </c>
      <c r="M145" s="424">
        <f t="shared" si="164"/>
        <v>1390729.4246666599</v>
      </c>
      <c r="N145" s="424">
        <f t="shared" si="165"/>
        <v>1921702.03466666</v>
      </c>
      <c r="O145" s="424">
        <f t="shared" si="166"/>
        <v>4562917.6986666601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327100.24767999799</v>
      </c>
      <c r="V145" s="424">
        <f t="shared" si="173"/>
        <v>887100.24767999805</v>
      </c>
      <c r="W145" s="431">
        <v>12</v>
      </c>
      <c r="X145" s="424">
        <f t="shared" si="174"/>
        <v>73925.020639999799</v>
      </c>
      <c r="Y145" s="427"/>
      <c r="Z145" s="873">
        <f t="shared" si="175"/>
        <v>73925.020639999799</v>
      </c>
      <c r="AA145" s="753">
        <v>44913.699618666702</v>
      </c>
      <c r="AB145" s="753">
        <f t="shared" si="176"/>
        <v>29011.3210213331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5196325.9664516002</v>
      </c>
      <c r="J146" s="424">
        <v>200000</v>
      </c>
      <c r="K146" s="424">
        <v>0.2</v>
      </c>
      <c r="L146" s="424">
        <f t="shared" si="163"/>
        <v>1039265.19329032</v>
      </c>
      <c r="M146" s="424">
        <f t="shared" si="164"/>
        <v>1239265.19329032</v>
      </c>
      <c r="N146" s="424">
        <f t="shared" si="165"/>
        <v>1580373.0332903201</v>
      </c>
      <c r="O146" s="424">
        <f t="shared" si="166"/>
        <v>3957060.77316128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181694.58555870701</v>
      </c>
      <c r="V146" s="424">
        <f t="shared" si="173"/>
        <v>741694.58555870701</v>
      </c>
      <c r="W146" s="431">
        <v>12</v>
      </c>
      <c r="X146" s="424">
        <f t="shared" si="174"/>
        <v>61807.882129892198</v>
      </c>
      <c r="Y146" s="427"/>
      <c r="Z146" s="873">
        <f t="shared" si="175"/>
        <v>61807.882129892198</v>
      </c>
      <c r="AA146" s="753">
        <v>39052.313066666698</v>
      </c>
      <c r="AB146" s="753">
        <f t="shared" si="176"/>
        <v>22755.569063225499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4327775.0493333396</v>
      </c>
      <c r="F154" s="424"/>
      <c r="G154" s="425">
        <v>283104.8</v>
      </c>
      <c r="H154" s="427"/>
      <c r="I154" s="424">
        <f t="shared" si="162"/>
        <v>4044670.2493333402</v>
      </c>
      <c r="J154" s="424">
        <v>200000</v>
      </c>
      <c r="K154" s="424">
        <v>0.2</v>
      </c>
      <c r="L154" s="424">
        <f t="shared" si="163"/>
        <v>808934.04986666702</v>
      </c>
      <c r="M154" s="424">
        <f t="shared" si="164"/>
        <v>1008934.04986667</v>
      </c>
      <c r="N154" s="424">
        <f t="shared" si="165"/>
        <v>1292038.8498666701</v>
      </c>
      <c r="O154" s="424">
        <f t="shared" si="166"/>
        <v>3035736.1994666699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301504.60188799998</v>
      </c>
      <c r="U154" s="424"/>
      <c r="V154" s="424">
        <f t="shared" si="173"/>
        <v>525504.60188800003</v>
      </c>
      <c r="W154" s="431">
        <v>12</v>
      </c>
      <c r="X154" s="424">
        <f t="shared" si="174"/>
        <v>43792.050157333397</v>
      </c>
      <c r="Y154" s="427"/>
      <c r="Z154" s="873">
        <f t="shared" si="175"/>
        <v>43792.050157333397</v>
      </c>
      <c r="AA154" s="753">
        <v>29305.1955466666</v>
      </c>
      <c r="AB154" s="753">
        <f t="shared" si="176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361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364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642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365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366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367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369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370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371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372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359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373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375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376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378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380</v>
      </c>
      <c r="C171" s="424">
        <v>363463.72580645198</v>
      </c>
      <c r="D171" s="423">
        <v>12</v>
      </c>
      <c r="E171" s="424">
        <f t="shared" si="161"/>
        <v>4361564.7096774196</v>
      </c>
      <c r="F171" s="424"/>
      <c r="G171" s="425">
        <v>140502.48000000001</v>
      </c>
      <c r="H171" s="427"/>
      <c r="I171" s="424">
        <f t="shared" si="162"/>
        <v>4221062.2296774201</v>
      </c>
      <c r="J171" s="424">
        <v>200000</v>
      </c>
      <c r="K171" s="424">
        <v>0.2</v>
      </c>
      <c r="L171" s="424">
        <f t="shared" si="163"/>
        <v>844212.44593548495</v>
      </c>
      <c r="M171" s="424">
        <f t="shared" si="164"/>
        <v>1044212.4459354799</v>
      </c>
      <c r="N171" s="424">
        <f t="shared" si="165"/>
        <v>1184714.92593548</v>
      </c>
      <c r="O171" s="424">
        <f t="shared" si="166"/>
        <v>3176849.7837419398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ref="T171:T176" si="177">IF((O171-1600000)&lt;0,0,IF((O171-1600000)&lt;1600000,0.21*(O171-1600000),336000))</f>
        <v>331138.45458580699</v>
      </c>
      <c r="U171" s="424"/>
      <c r="V171" s="424">
        <f t="shared" si="173"/>
        <v>555138.45458580705</v>
      </c>
      <c r="W171" s="431">
        <v>12</v>
      </c>
      <c r="X171" s="424">
        <f t="shared" si="174"/>
        <v>46261.537882150602</v>
      </c>
      <c r="Y171" s="427"/>
      <c r="Z171" s="873">
        <f t="shared" si="175"/>
        <v>46261.537882150602</v>
      </c>
      <c r="AA171" s="753">
        <v>7852.4192000000003</v>
      </c>
      <c r="AB171" s="753">
        <f t="shared" si="176"/>
        <v>38409.118682150598</v>
      </c>
      <c r="AC171" s="436"/>
      <c r="AD171" s="436"/>
      <c r="AE171" s="436"/>
    </row>
    <row r="172" spans="1:31" ht="15.75">
      <c r="A172" s="421">
        <v>156</v>
      </c>
      <c r="B172" s="597" t="s">
        <v>381</v>
      </c>
      <c r="C172" s="424">
        <v>363463.72580645198</v>
      </c>
      <c r="D172" s="423">
        <v>12</v>
      </c>
      <c r="E172" s="424">
        <f t="shared" si="161"/>
        <v>4361564.7096774196</v>
      </c>
      <c r="F172" s="424"/>
      <c r="G172" s="425">
        <v>140502.48000000001</v>
      </c>
      <c r="H172" s="427"/>
      <c r="I172" s="424">
        <f t="shared" si="162"/>
        <v>4221062.2296774201</v>
      </c>
      <c r="J172" s="424">
        <v>200000</v>
      </c>
      <c r="K172" s="424">
        <v>0.2</v>
      </c>
      <c r="L172" s="424">
        <f t="shared" si="163"/>
        <v>844212.44593548495</v>
      </c>
      <c r="M172" s="424">
        <f t="shared" si="164"/>
        <v>1044212.4459354799</v>
      </c>
      <c r="N172" s="424">
        <f t="shared" si="165"/>
        <v>1184714.92593548</v>
      </c>
      <c r="O172" s="424">
        <f t="shared" si="166"/>
        <v>3176849.7837419398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7"/>
        <v>331138.45458580699</v>
      </c>
      <c r="U172" s="424"/>
      <c r="V172" s="424">
        <f t="shared" si="173"/>
        <v>555138.45458580705</v>
      </c>
      <c r="W172" s="431">
        <v>12</v>
      </c>
      <c r="X172" s="424">
        <f t="shared" si="174"/>
        <v>46261.537882150602</v>
      </c>
      <c r="Y172" s="427"/>
      <c r="Z172" s="873">
        <f t="shared" si="175"/>
        <v>46261.537882150602</v>
      </c>
      <c r="AA172" s="753">
        <v>7492.4192000000003</v>
      </c>
      <c r="AB172" s="753">
        <f t="shared" si="176"/>
        <v>38769.118682150598</v>
      </c>
      <c r="AC172" s="436"/>
      <c r="AD172" s="436"/>
      <c r="AE172" s="436"/>
    </row>
    <row r="173" spans="1:31" ht="15.75">
      <c r="A173" s="421">
        <v>157</v>
      </c>
      <c r="B173" s="597" t="s">
        <v>382</v>
      </c>
      <c r="C173" s="424">
        <v>363463.72580645198</v>
      </c>
      <c r="D173" s="423">
        <v>12</v>
      </c>
      <c r="E173" s="424">
        <f t="shared" si="161"/>
        <v>4361564.7096774196</v>
      </c>
      <c r="F173" s="424"/>
      <c r="G173" s="425">
        <v>140502.48000000001</v>
      </c>
      <c r="H173" s="427"/>
      <c r="I173" s="424">
        <f t="shared" si="162"/>
        <v>4221062.2296774201</v>
      </c>
      <c r="J173" s="424">
        <v>200000</v>
      </c>
      <c r="K173" s="424">
        <v>0.2</v>
      </c>
      <c r="L173" s="424">
        <f t="shared" si="163"/>
        <v>844212.44593548495</v>
      </c>
      <c r="M173" s="424">
        <f t="shared" si="164"/>
        <v>1044212.4459354799</v>
      </c>
      <c r="N173" s="424">
        <f t="shared" si="165"/>
        <v>1184714.92593548</v>
      </c>
      <c r="O173" s="424">
        <f t="shared" si="166"/>
        <v>3176849.7837419398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7"/>
        <v>331138.45458580699</v>
      </c>
      <c r="U173" s="424"/>
      <c r="V173" s="424">
        <f t="shared" si="173"/>
        <v>555138.45458580705</v>
      </c>
      <c r="W173" s="431">
        <v>12</v>
      </c>
      <c r="X173" s="424">
        <f t="shared" si="174"/>
        <v>46261.537882150602</v>
      </c>
      <c r="Y173" s="427"/>
      <c r="Z173" s="873">
        <f t="shared" si="175"/>
        <v>46261.537882150602</v>
      </c>
      <c r="AA173" s="753">
        <v>7852.4192000000003</v>
      </c>
      <c r="AB173" s="753">
        <f t="shared" si="176"/>
        <v>38409.118682150598</v>
      </c>
      <c r="AC173" s="436"/>
      <c r="AD173" s="436"/>
      <c r="AE173" s="436"/>
    </row>
    <row r="174" spans="1:31" ht="15.75">
      <c r="A174" s="421">
        <v>158</v>
      </c>
      <c r="B174" s="597" t="s">
        <v>383</v>
      </c>
      <c r="C174" s="882">
        <v>363463.72580645198</v>
      </c>
      <c r="D174" s="423">
        <v>12</v>
      </c>
      <c r="E174" s="424">
        <f t="shared" si="161"/>
        <v>4361564.7096774196</v>
      </c>
      <c r="F174" s="424"/>
      <c r="G174" s="425">
        <v>140502.48000000001</v>
      </c>
      <c r="H174" s="427"/>
      <c r="I174" s="424">
        <f t="shared" si="162"/>
        <v>4221062.2296774201</v>
      </c>
      <c r="J174" s="424">
        <v>200000</v>
      </c>
      <c r="K174" s="424">
        <v>0.2</v>
      </c>
      <c r="L174" s="424">
        <f t="shared" si="163"/>
        <v>844212.44593548495</v>
      </c>
      <c r="M174" s="424">
        <f t="shared" si="164"/>
        <v>1044212.4459354799</v>
      </c>
      <c r="N174" s="424">
        <f t="shared" si="165"/>
        <v>1184714.92593548</v>
      </c>
      <c r="O174" s="424">
        <f t="shared" si="166"/>
        <v>3176849.7837419398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7"/>
        <v>331138.45458580699</v>
      </c>
      <c r="U174" s="424"/>
      <c r="V174" s="424">
        <f t="shared" si="173"/>
        <v>555138.45458580705</v>
      </c>
      <c r="W174" s="431">
        <v>12</v>
      </c>
      <c r="X174" s="424">
        <f t="shared" si="174"/>
        <v>46261.537882150602</v>
      </c>
      <c r="Y174" s="427"/>
      <c r="Z174" s="873">
        <f t="shared" si="175"/>
        <v>46261.537882150602</v>
      </c>
      <c r="AA174" s="753">
        <v>7492.4192000000003</v>
      </c>
      <c r="AB174" s="753">
        <f t="shared" si="176"/>
        <v>38769.118682150598</v>
      </c>
      <c r="AC174" s="436"/>
      <c r="AD174" s="436"/>
      <c r="AE174" s="436"/>
    </row>
    <row r="175" spans="1:31" ht="15.75">
      <c r="A175" s="421">
        <v>159</v>
      </c>
      <c r="B175" s="597" t="s">
        <v>384</v>
      </c>
      <c r="C175" s="882">
        <v>363463.72580645198</v>
      </c>
      <c r="D175" s="423">
        <v>12</v>
      </c>
      <c r="E175" s="424">
        <f t="shared" si="161"/>
        <v>4361564.7096774196</v>
      </c>
      <c r="F175" s="424"/>
      <c r="G175" s="425">
        <v>140502.48000000001</v>
      </c>
      <c r="H175" s="427"/>
      <c r="I175" s="424">
        <f t="shared" si="162"/>
        <v>4221062.2296774201</v>
      </c>
      <c r="J175" s="424">
        <v>200000</v>
      </c>
      <c r="K175" s="424">
        <v>0.2</v>
      </c>
      <c r="L175" s="424">
        <f t="shared" si="163"/>
        <v>844212.44593548495</v>
      </c>
      <c r="M175" s="424">
        <f t="shared" si="164"/>
        <v>1044212.4459354799</v>
      </c>
      <c r="N175" s="424">
        <f t="shared" si="165"/>
        <v>1184714.92593548</v>
      </c>
      <c r="O175" s="424">
        <f t="shared" si="166"/>
        <v>3176849.7837419398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7"/>
        <v>331138.45458580699</v>
      </c>
      <c r="U175" s="424"/>
      <c r="V175" s="424">
        <f t="shared" si="173"/>
        <v>555138.45458580705</v>
      </c>
      <c r="W175" s="431">
        <v>12</v>
      </c>
      <c r="X175" s="424">
        <f t="shared" si="174"/>
        <v>46261.537882150602</v>
      </c>
      <c r="Y175" s="427"/>
      <c r="Z175" s="873">
        <f t="shared" si="175"/>
        <v>46261.537882150602</v>
      </c>
      <c r="AA175" s="753">
        <v>7852.4192000000003</v>
      </c>
      <c r="AB175" s="753">
        <f t="shared" si="176"/>
        <v>38409.118682150598</v>
      </c>
    </row>
    <row r="176" spans="1:31" ht="15.75">
      <c r="A176" s="421">
        <v>160</v>
      </c>
      <c r="B176" s="313" t="s">
        <v>385</v>
      </c>
      <c r="C176" s="753">
        <v>954446.8</v>
      </c>
      <c r="D176" s="423">
        <v>12</v>
      </c>
      <c r="E176" s="424">
        <f t="shared" si="161"/>
        <v>11453361.6</v>
      </c>
      <c r="F176" s="574"/>
      <c r="G176" s="425">
        <v>140502.48000000001</v>
      </c>
      <c r="I176" s="424">
        <f t="shared" si="162"/>
        <v>11312859.119999999</v>
      </c>
      <c r="J176" s="424">
        <v>200000</v>
      </c>
      <c r="K176" s="424">
        <v>0.2</v>
      </c>
      <c r="L176" s="424">
        <f t="shared" si="163"/>
        <v>2262571.824</v>
      </c>
      <c r="M176" s="424">
        <f t="shared" si="164"/>
        <v>2462571.824</v>
      </c>
      <c r="N176" s="424">
        <f t="shared" si="165"/>
        <v>2603074.304</v>
      </c>
      <c r="O176" s="424">
        <f t="shared" si="166"/>
        <v>8850287.2960000001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7"/>
        <v>336000</v>
      </c>
      <c r="U176" s="424">
        <f>0.24*(O176-3200000)</f>
        <v>1356068.95104</v>
      </c>
      <c r="V176" s="424">
        <f t="shared" si="173"/>
        <v>1916068.95104</v>
      </c>
      <c r="W176" s="431">
        <v>12</v>
      </c>
      <c r="X176" s="424">
        <f t="shared" si="174"/>
        <v>159672.41258666699</v>
      </c>
      <c r="Z176" s="873">
        <f t="shared" si="175"/>
        <v>159672.41258666699</v>
      </c>
      <c r="AA176" s="753">
        <v>7492.4192000000003</v>
      </c>
      <c r="AB176" s="753">
        <f t="shared" si="176"/>
        <v>152179.99338666699</v>
      </c>
    </row>
    <row r="177" spans="1:28" ht="15.75">
      <c r="A177" s="421">
        <v>161</v>
      </c>
      <c r="B177" s="313" t="s">
        <v>387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1:28" ht="15.75">
      <c r="A178" s="421">
        <v>162</v>
      </c>
      <c r="B178" s="597" t="s">
        <v>644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1:28" ht="15.75">
      <c r="A179" s="421">
        <v>163</v>
      </c>
      <c r="B179" s="597" t="s">
        <v>388</v>
      </c>
      <c r="C179" s="753">
        <v>173356.75</v>
      </c>
      <c r="D179" s="423">
        <v>12</v>
      </c>
      <c r="E179" s="424">
        <f t="shared" ref="E179:E187" si="178">C179*D179</f>
        <v>2080281</v>
      </c>
      <c r="F179" s="574"/>
      <c r="G179" s="425">
        <v>140502.48000000001</v>
      </c>
      <c r="I179" s="424">
        <f t="shared" ref="I179:I187" si="179">E179-F179-G179-H179</f>
        <v>1939778.52</v>
      </c>
      <c r="J179" s="424">
        <v>200000</v>
      </c>
      <c r="K179" s="424">
        <v>0.2</v>
      </c>
      <c r="L179" s="424">
        <f t="shared" ref="L179:L187" si="180">I179*K179</f>
        <v>387955.70400000003</v>
      </c>
      <c r="M179" s="424">
        <f t="shared" ref="M179:M187" si="181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2">Z179-AA179</f>
        <v>6884.7753866666699</v>
      </c>
    </row>
    <row r="180" spans="1:28" ht="15.75">
      <c r="A180" s="421">
        <v>164</v>
      </c>
      <c r="B180" s="313" t="s">
        <v>360</v>
      </c>
      <c r="C180" s="753">
        <v>170495.66666666701</v>
      </c>
      <c r="D180" s="423">
        <v>12</v>
      </c>
      <c r="E180" s="424">
        <f t="shared" si="178"/>
        <v>2045948</v>
      </c>
      <c r="F180" s="574"/>
      <c r="G180" s="425">
        <v>137755.84</v>
      </c>
      <c r="I180" s="424">
        <f t="shared" si="179"/>
        <v>1908192.16</v>
      </c>
      <c r="J180" s="424">
        <v>200000</v>
      </c>
      <c r="K180" s="424">
        <v>0.2</v>
      </c>
      <c r="L180" s="424">
        <f t="shared" si="180"/>
        <v>381638.43200000102</v>
      </c>
      <c r="M180" s="424">
        <f t="shared" si="181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2"/>
        <v>6765.9530933333899</v>
      </c>
    </row>
    <row r="181" spans="1:28" ht="15.75">
      <c r="A181" s="421">
        <v>165</v>
      </c>
      <c r="B181" s="313" t="s">
        <v>391</v>
      </c>
      <c r="C181" s="753">
        <v>164773.5</v>
      </c>
      <c r="D181" s="423">
        <v>12</v>
      </c>
      <c r="E181" s="424">
        <f t="shared" si="178"/>
        <v>1977282</v>
      </c>
      <c r="F181" s="574"/>
      <c r="G181" s="425">
        <v>132262.56</v>
      </c>
      <c r="I181" s="424">
        <f t="shared" si="179"/>
        <v>1845019.44</v>
      </c>
      <c r="J181" s="424">
        <v>200000</v>
      </c>
      <c r="K181" s="424">
        <v>0.2</v>
      </c>
      <c r="L181" s="424">
        <f t="shared" si="180"/>
        <v>369003.88799999998</v>
      </c>
      <c r="M181" s="424">
        <f t="shared" si="181"/>
        <v>569003.88800000004</v>
      </c>
      <c r="N181" s="424">
        <f t="shared" si="165"/>
        <v>701266.44799999997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33442.954879999998</v>
      </c>
      <c r="T181" s="424">
        <f t="shared" si="171"/>
        <v>0</v>
      </c>
      <c r="V181" s="424">
        <f t="shared" si="173"/>
        <v>162442.95488</v>
      </c>
      <c r="W181" s="431">
        <v>12</v>
      </c>
      <c r="X181" s="424">
        <f t="shared" si="174"/>
        <v>13536.912906666699</v>
      </c>
      <c r="Z181" s="873">
        <f t="shared" si="175"/>
        <v>13536.912906666699</v>
      </c>
      <c r="AA181" s="753">
        <v>3685.06</v>
      </c>
      <c r="AB181" s="753">
        <f t="shared" si="182"/>
        <v>9851.8529066666706</v>
      </c>
    </row>
    <row r="182" spans="1:28" ht="15.75">
      <c r="A182" s="421">
        <v>166</v>
      </c>
      <c r="B182" s="313" t="s">
        <v>394</v>
      </c>
      <c r="C182" s="753">
        <v>156912.66666666701</v>
      </c>
      <c r="D182" s="423">
        <v>12</v>
      </c>
      <c r="E182" s="424">
        <f t="shared" si="178"/>
        <v>1882952</v>
      </c>
      <c r="F182" s="574"/>
      <c r="G182" s="425">
        <v>129516.16</v>
      </c>
      <c r="I182" s="424">
        <f t="shared" si="179"/>
        <v>1753435.84</v>
      </c>
      <c r="J182" s="424">
        <v>200000</v>
      </c>
      <c r="K182" s="424">
        <v>0.2</v>
      </c>
      <c r="L182" s="424">
        <f t="shared" si="180"/>
        <v>350687.16800000099</v>
      </c>
      <c r="M182" s="424">
        <f t="shared" si="181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2"/>
        <v>5941.7923733333801</v>
      </c>
    </row>
    <row r="183" spans="1:28" ht="15.75">
      <c r="A183" s="421">
        <v>167</v>
      </c>
      <c r="B183" s="313" t="s">
        <v>398</v>
      </c>
      <c r="C183" s="753">
        <v>157279.03333333301</v>
      </c>
      <c r="D183" s="423">
        <v>12</v>
      </c>
      <c r="E183" s="424">
        <f t="shared" si="178"/>
        <v>1887348.4</v>
      </c>
      <c r="F183" s="574"/>
      <c r="G183" s="425">
        <v>123887.44</v>
      </c>
      <c r="I183" s="424">
        <f t="shared" si="179"/>
        <v>1763460.96</v>
      </c>
      <c r="J183" s="424">
        <v>200000</v>
      </c>
      <c r="K183" s="424">
        <v>0.2</v>
      </c>
      <c r="L183" s="424">
        <f t="shared" si="180"/>
        <v>352692.19199999899</v>
      </c>
      <c r="M183" s="424">
        <f t="shared" si="181"/>
        <v>552692.19199999899</v>
      </c>
      <c r="N183" s="424">
        <f t="shared" si="165"/>
        <v>676579.63199999905</v>
      </c>
      <c r="O183" s="424">
        <f t="shared" si="166"/>
        <v>1210768.7679999999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21046.065919999401</v>
      </c>
      <c r="T183" s="424">
        <f t="shared" si="171"/>
        <v>0</v>
      </c>
      <c r="V183" s="424">
        <f t="shared" si="173"/>
        <v>150046.065919999</v>
      </c>
      <c r="W183" s="431">
        <v>12</v>
      </c>
      <c r="X183" s="424">
        <f t="shared" si="174"/>
        <v>12503.838826666601</v>
      </c>
      <c r="Z183" s="873">
        <f t="shared" si="175"/>
        <v>12503.838826666601</v>
      </c>
      <c r="AA183" s="753">
        <v>5230.0987999999998</v>
      </c>
      <c r="AB183" s="753">
        <f t="shared" si="182"/>
        <v>7273.74002666662</v>
      </c>
    </row>
    <row r="184" spans="1:28" ht="15.75">
      <c r="A184" s="421">
        <v>168</v>
      </c>
      <c r="B184" s="313" t="s">
        <v>401</v>
      </c>
      <c r="C184" s="753">
        <v>148049.41666666701</v>
      </c>
      <c r="D184" s="423">
        <v>12</v>
      </c>
      <c r="E184" s="424">
        <f t="shared" si="178"/>
        <v>1776593</v>
      </c>
      <c r="F184" s="574"/>
      <c r="G184" s="425">
        <v>123887.44</v>
      </c>
      <c r="I184" s="424">
        <f t="shared" si="179"/>
        <v>1652705.56</v>
      </c>
      <c r="J184" s="424">
        <v>200000</v>
      </c>
      <c r="K184" s="424">
        <v>0.2</v>
      </c>
      <c r="L184" s="424">
        <f t="shared" si="180"/>
        <v>330541.11200000101</v>
      </c>
      <c r="M184" s="424">
        <f t="shared" si="181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2"/>
        <v>5870.8382933333896</v>
      </c>
    </row>
    <row r="185" spans="1:28" ht="15.75">
      <c r="A185" s="421">
        <v>169</v>
      </c>
      <c r="B185" s="313" t="s">
        <v>402</v>
      </c>
      <c r="C185" s="753">
        <v>148049.41666666701</v>
      </c>
      <c r="D185" s="423">
        <v>12</v>
      </c>
      <c r="E185" s="424">
        <f t="shared" si="178"/>
        <v>1776593</v>
      </c>
      <c r="F185" s="574"/>
      <c r="G185" s="444">
        <v>123887.44</v>
      </c>
      <c r="I185" s="443">
        <f t="shared" si="179"/>
        <v>1652705.56</v>
      </c>
      <c r="J185" s="424">
        <v>200000</v>
      </c>
      <c r="K185" s="424">
        <v>0.2</v>
      </c>
      <c r="L185" s="424">
        <f t="shared" si="180"/>
        <v>330541.11200000101</v>
      </c>
      <c r="M185" s="424">
        <f t="shared" si="181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2"/>
        <v>5870.8382933333896</v>
      </c>
    </row>
    <row r="186" spans="1:28" ht="15.75">
      <c r="A186" s="421">
        <v>170</v>
      </c>
      <c r="B186" s="313" t="s">
        <v>403</v>
      </c>
      <c r="C186" s="753">
        <v>162634.66666666701</v>
      </c>
      <c r="D186" s="423">
        <v>12</v>
      </c>
      <c r="E186" s="424">
        <f t="shared" si="178"/>
        <v>1951616</v>
      </c>
      <c r="F186" s="574"/>
      <c r="G186" s="444">
        <v>135009.28</v>
      </c>
      <c r="H186" s="446"/>
      <c r="I186" s="443">
        <f t="shared" si="179"/>
        <v>1816606.72</v>
      </c>
      <c r="J186" s="443">
        <v>200000</v>
      </c>
      <c r="K186" s="443">
        <v>0.2</v>
      </c>
      <c r="L186" s="443">
        <f t="shared" si="180"/>
        <v>363321.34400000097</v>
      </c>
      <c r="M186" s="443">
        <f t="shared" si="181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2"/>
        <v>6487.1424533333902</v>
      </c>
    </row>
    <row r="187" spans="1:28" ht="21.95" customHeight="1">
      <c r="A187" s="421">
        <v>171</v>
      </c>
      <c r="B187" s="313" t="s">
        <v>406</v>
      </c>
      <c r="C187" s="753">
        <v>162634.66666666701</v>
      </c>
      <c r="D187" s="423">
        <v>12</v>
      </c>
      <c r="E187" s="424">
        <f t="shared" si="178"/>
        <v>1951616</v>
      </c>
      <c r="F187" s="574"/>
      <c r="G187" s="444">
        <v>135009.28</v>
      </c>
      <c r="H187" s="446"/>
      <c r="I187" s="443">
        <f t="shared" si="179"/>
        <v>1816606.72</v>
      </c>
      <c r="J187" s="443">
        <v>200000</v>
      </c>
      <c r="K187" s="443">
        <v>0.2</v>
      </c>
      <c r="L187" s="443">
        <f t="shared" si="180"/>
        <v>363321.34400000097</v>
      </c>
      <c r="M187" s="443">
        <f t="shared" si="181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2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120</v>
      </c>
      <c r="W188" s="572"/>
      <c r="X188" s="877">
        <f t="shared" ref="X188:AB188" si="183">SUM(X6:X187)</f>
        <v>14473354.767672701</v>
      </c>
      <c r="Y188" s="877"/>
      <c r="Z188" s="879">
        <f t="shared" si="183"/>
        <v>14473354.767672701</v>
      </c>
      <c r="AA188" s="879">
        <f t="shared" si="183"/>
        <v>10905235.836174799</v>
      </c>
      <c r="AB188" s="880">
        <f t="shared" si="183"/>
        <v>3568118.93149789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22" workbookViewId="0">
      <selection activeCell="B8" sqref="B8:K25"/>
    </sheetView>
  </sheetViews>
  <sheetFormatPr defaultColWidth="8.7109375" defaultRowHeight="12.75"/>
  <cols>
    <col min="1" max="1" width="5" customWidth="1"/>
    <col min="2" max="2" width="19" customWidth="1"/>
    <col min="3" max="3" width="15.42578125" customWidth="1"/>
    <col min="4" max="4" width="10.42578125" customWidth="1"/>
    <col min="5" max="5" width="14.42578125" customWidth="1"/>
    <col min="6" max="6" width="13.42578125" customWidth="1"/>
    <col min="7" max="7" width="8.85546875" customWidth="1"/>
    <col min="8" max="8" width="12.140625" customWidth="1"/>
    <col min="9" max="9" width="13.7109375" customWidth="1"/>
    <col min="10" max="10" width="13.140625" customWidth="1"/>
    <col min="11" max="11" width="12.140625" customWidth="1"/>
    <col min="12" max="13" width="13.42578125" customWidth="1"/>
    <col min="14" max="14" width="12.5703125" customWidth="1"/>
  </cols>
  <sheetData>
    <row r="1" spans="1:14" s="896" customFormat="1" ht="22.5">
      <c r="A1" s="1160" t="s">
        <v>0</v>
      </c>
      <c r="B1" s="1160"/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</row>
    <row r="2" spans="1:14" s="896" customFormat="1" ht="23.25">
      <c r="A2" s="897" t="s">
        <v>812</v>
      </c>
      <c r="B2" s="898"/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</row>
    <row r="3" spans="1:14" s="896" customFormat="1" ht="20.25">
      <c r="A3" s="899" t="s">
        <v>813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900"/>
    </row>
    <row r="4" spans="1:14" s="896" customFormat="1" ht="47.25">
      <c r="A4" s="901" t="s">
        <v>22</v>
      </c>
      <c r="B4" s="902" t="s">
        <v>2</v>
      </c>
      <c r="C4" s="902"/>
      <c r="D4" s="903" t="s">
        <v>4</v>
      </c>
      <c r="E4" s="902" t="s">
        <v>814</v>
      </c>
      <c r="F4" s="903" t="s">
        <v>815</v>
      </c>
      <c r="G4" s="903" t="s">
        <v>816</v>
      </c>
      <c r="H4" s="903" t="s">
        <v>9</v>
      </c>
      <c r="I4" s="1161" t="s">
        <v>429</v>
      </c>
      <c r="J4" s="1161"/>
      <c r="K4" s="1161"/>
      <c r="L4" s="1161"/>
      <c r="M4" s="1161"/>
      <c r="N4" s="1162" t="s">
        <v>817</v>
      </c>
    </row>
    <row r="5" spans="1:14" s="896" customFormat="1" ht="71.099999999999994" customHeight="1">
      <c r="A5" s="901"/>
      <c r="B5" s="902"/>
      <c r="C5" s="902"/>
      <c r="D5" s="902"/>
      <c r="E5" s="902"/>
      <c r="F5" s="903"/>
      <c r="G5" s="903"/>
      <c r="H5" s="902"/>
      <c r="I5" s="924" t="s">
        <v>818</v>
      </c>
      <c r="J5" s="924" t="s">
        <v>819</v>
      </c>
      <c r="K5" s="924" t="s">
        <v>820</v>
      </c>
      <c r="L5" s="924" t="s">
        <v>821</v>
      </c>
      <c r="M5" s="924" t="s">
        <v>18</v>
      </c>
      <c r="N5" s="1162"/>
    </row>
    <row r="6" spans="1:14" s="896" customFormat="1" ht="9" customHeight="1">
      <c r="A6" s="904"/>
      <c r="B6" s="905"/>
      <c r="C6" s="905"/>
      <c r="D6" s="905"/>
      <c r="E6" s="905"/>
      <c r="F6" s="906"/>
      <c r="G6" s="906"/>
      <c r="H6" s="905"/>
      <c r="I6" s="906"/>
      <c r="J6" s="906"/>
      <c r="K6" s="906"/>
      <c r="L6" s="906"/>
      <c r="M6" s="906"/>
      <c r="N6" s="925"/>
    </row>
    <row r="7" spans="1:14" s="896" customFormat="1" ht="18.75">
      <c r="A7" s="907"/>
      <c r="B7" s="907"/>
      <c r="C7" s="907"/>
      <c r="D7" s="907"/>
      <c r="E7" s="908" t="s">
        <v>21</v>
      </c>
      <c r="F7" s="908" t="s">
        <v>21</v>
      </c>
      <c r="G7" s="908" t="s">
        <v>21</v>
      </c>
      <c r="H7" s="908" t="s">
        <v>21</v>
      </c>
      <c r="I7" s="908" t="s">
        <v>21</v>
      </c>
      <c r="J7" s="908" t="s">
        <v>21</v>
      </c>
      <c r="K7" s="908" t="s">
        <v>21</v>
      </c>
      <c r="L7" s="908" t="s">
        <v>21</v>
      </c>
      <c r="M7" s="908" t="s">
        <v>21</v>
      </c>
      <c r="N7" s="926" t="s">
        <v>21</v>
      </c>
    </row>
    <row r="8" spans="1:14" s="896" customFormat="1" ht="30" customHeight="1">
      <c r="A8" s="907">
        <v>1</v>
      </c>
      <c r="B8" s="909" t="s">
        <v>822</v>
      </c>
      <c r="C8" s="910" t="s">
        <v>661</v>
      </c>
      <c r="D8" s="910" t="s">
        <v>277</v>
      </c>
      <c r="E8" s="911">
        <v>218287.58333333299</v>
      </c>
      <c r="F8" s="912">
        <v>50000</v>
      </c>
      <c r="G8" s="912"/>
      <c r="H8" s="913">
        <f t="shared" ref="H8:H39" si="0">E8+F8+G8</f>
        <v>268287.58333333302</v>
      </c>
      <c r="I8" s="927"/>
      <c r="J8" s="927"/>
      <c r="K8" s="927"/>
      <c r="L8" s="919">
        <v>29305.195546666699</v>
      </c>
      <c r="M8" s="913">
        <f t="shared" ref="M8:M46" si="1">I8+J8+K8+L8</f>
        <v>29305.195546666699</v>
      </c>
      <c r="N8" s="928">
        <f t="shared" ref="N8:N46" si="2">H8-M8</f>
        <v>238982.38778666599</v>
      </c>
    </row>
    <row r="9" spans="1:14" s="896" customFormat="1" ht="30" customHeight="1">
      <c r="A9" s="907">
        <v>2</v>
      </c>
      <c r="B9" s="909" t="s">
        <v>823</v>
      </c>
      <c r="C9" s="910" t="s">
        <v>661</v>
      </c>
      <c r="D9" s="910" t="s">
        <v>277</v>
      </c>
      <c r="E9" s="911">
        <v>218287.58333333299</v>
      </c>
      <c r="F9" s="912">
        <v>50000</v>
      </c>
      <c r="G9" s="912"/>
      <c r="H9" s="913">
        <f t="shared" si="0"/>
        <v>268287.58333333302</v>
      </c>
      <c r="I9" s="927"/>
      <c r="J9" s="927"/>
      <c r="K9" s="927">
        <v>70000</v>
      </c>
      <c r="L9" s="919">
        <v>29305.195546666699</v>
      </c>
      <c r="M9" s="913">
        <f t="shared" si="1"/>
        <v>99305.195546666699</v>
      </c>
      <c r="N9" s="928">
        <f t="shared" si="2"/>
        <v>168982.38778666599</v>
      </c>
    </row>
    <row r="10" spans="1:14" s="896" customFormat="1" ht="30" customHeight="1">
      <c r="A10" s="907">
        <v>3</v>
      </c>
      <c r="B10" s="909" t="s">
        <v>824</v>
      </c>
      <c r="C10" s="907" t="s">
        <v>825</v>
      </c>
      <c r="D10" s="907" t="s">
        <v>81</v>
      </c>
      <c r="E10" s="914">
        <v>293029.66666666698</v>
      </c>
      <c r="F10" s="915">
        <v>110000</v>
      </c>
      <c r="G10" s="912"/>
      <c r="H10" s="913">
        <f t="shared" si="0"/>
        <v>403029.66666666698</v>
      </c>
      <c r="I10" s="927">
        <v>50000</v>
      </c>
      <c r="J10" s="927"/>
      <c r="K10" s="927"/>
      <c r="L10" s="927">
        <v>56048.36</v>
      </c>
      <c r="M10" s="913">
        <f t="shared" si="1"/>
        <v>106048.36</v>
      </c>
      <c r="N10" s="928">
        <f t="shared" si="2"/>
        <v>296981.30666666699</v>
      </c>
    </row>
    <row r="11" spans="1:14" s="896" customFormat="1" ht="30" customHeight="1">
      <c r="A11" s="907">
        <v>4</v>
      </c>
      <c r="B11" s="909" t="s">
        <v>826</v>
      </c>
      <c r="C11" s="910" t="s">
        <v>661</v>
      </c>
      <c r="D11" s="910" t="s">
        <v>277</v>
      </c>
      <c r="E11" s="911">
        <v>218287.58333333299</v>
      </c>
      <c r="F11" s="912">
        <v>50000</v>
      </c>
      <c r="G11" s="912"/>
      <c r="H11" s="913">
        <f t="shared" si="0"/>
        <v>268287.58333333302</v>
      </c>
      <c r="I11" s="927">
        <v>20000</v>
      </c>
      <c r="J11" s="927"/>
      <c r="K11" s="927"/>
      <c r="L11" s="919">
        <v>29305.195546666699</v>
      </c>
      <c r="M11" s="913">
        <f t="shared" si="1"/>
        <v>49305.195546666699</v>
      </c>
      <c r="N11" s="928">
        <f t="shared" si="2"/>
        <v>218982.38778666599</v>
      </c>
    </row>
    <row r="12" spans="1:14" s="896" customFormat="1" ht="30" customHeight="1">
      <c r="A12" s="907">
        <v>5</v>
      </c>
      <c r="B12" s="909" t="s">
        <v>827</v>
      </c>
      <c r="C12" s="910" t="s">
        <v>661</v>
      </c>
      <c r="D12" s="910" t="s">
        <v>225</v>
      </c>
      <c r="E12" s="911">
        <f>255849</f>
        <v>255849</v>
      </c>
      <c r="F12" s="912">
        <f>60000</f>
        <v>60000</v>
      </c>
      <c r="G12" s="912"/>
      <c r="H12" s="913">
        <f t="shared" si="0"/>
        <v>315849</v>
      </c>
      <c r="I12" s="927"/>
      <c r="J12" s="927"/>
      <c r="K12" s="927"/>
      <c r="L12" s="919">
        <v>40229.298666666698</v>
      </c>
      <c r="M12" s="913">
        <f t="shared" si="1"/>
        <v>40229.298666666698</v>
      </c>
      <c r="N12" s="928">
        <f t="shared" si="2"/>
        <v>275619.70133333298</v>
      </c>
    </row>
    <row r="13" spans="1:14" s="896" customFormat="1" ht="30" customHeight="1">
      <c r="A13" s="907">
        <v>6</v>
      </c>
      <c r="B13" s="909" t="s">
        <v>828</v>
      </c>
      <c r="C13" s="910" t="s">
        <v>661</v>
      </c>
      <c r="D13" s="910" t="s">
        <v>277</v>
      </c>
      <c r="E13" s="911">
        <f t="shared" ref="E13:E16" si="3">218287.583333333</f>
        <v>218287.58333333299</v>
      </c>
      <c r="F13" s="912">
        <f t="shared" ref="F13:F16" si="4">50000</f>
        <v>50000</v>
      </c>
      <c r="G13" s="912"/>
      <c r="H13" s="913">
        <f t="shared" si="0"/>
        <v>268287.58333333302</v>
      </c>
      <c r="I13" s="927"/>
      <c r="J13" s="927"/>
      <c r="K13" s="927"/>
      <c r="L13" s="919">
        <v>29305.195546666699</v>
      </c>
      <c r="M13" s="913">
        <f t="shared" si="1"/>
        <v>29305.195546666699</v>
      </c>
      <c r="N13" s="928">
        <f t="shared" si="2"/>
        <v>238982.38778666599</v>
      </c>
    </row>
    <row r="14" spans="1:14" s="896" customFormat="1" ht="30" customHeight="1">
      <c r="A14" s="907">
        <v>7</v>
      </c>
      <c r="B14" s="909" t="s">
        <v>829</v>
      </c>
      <c r="C14" s="910" t="s">
        <v>661</v>
      </c>
      <c r="D14" s="910" t="s">
        <v>277</v>
      </c>
      <c r="E14" s="911">
        <f t="shared" si="3"/>
        <v>218287.58333333299</v>
      </c>
      <c r="F14" s="912">
        <f t="shared" si="4"/>
        <v>50000</v>
      </c>
      <c r="G14" s="912"/>
      <c r="H14" s="913">
        <f t="shared" si="0"/>
        <v>268287.58333333302</v>
      </c>
      <c r="I14" s="927">
        <v>20000</v>
      </c>
      <c r="J14" s="927"/>
      <c r="K14" s="927"/>
      <c r="L14" s="919">
        <v>29305.195546666699</v>
      </c>
      <c r="M14" s="913">
        <f t="shared" si="1"/>
        <v>49305.195546666699</v>
      </c>
      <c r="N14" s="928">
        <f t="shared" si="2"/>
        <v>218982.38778666599</v>
      </c>
    </row>
    <row r="15" spans="1:14" s="896" customFormat="1" ht="30" customHeight="1">
      <c r="A15" s="907">
        <v>8</v>
      </c>
      <c r="B15" s="909" t="s">
        <v>830</v>
      </c>
      <c r="C15" s="910" t="s">
        <v>661</v>
      </c>
      <c r="D15" s="910" t="s">
        <v>277</v>
      </c>
      <c r="E15" s="911">
        <f t="shared" si="3"/>
        <v>218287.58333333299</v>
      </c>
      <c r="F15" s="912">
        <f t="shared" si="4"/>
        <v>50000</v>
      </c>
      <c r="G15" s="912"/>
      <c r="H15" s="913">
        <f t="shared" si="0"/>
        <v>268287.58333333302</v>
      </c>
      <c r="I15" s="927">
        <v>20000</v>
      </c>
      <c r="J15" s="927">
        <v>80000</v>
      </c>
      <c r="K15" s="927"/>
      <c r="L15" s="919">
        <v>29305.195546666699</v>
      </c>
      <c r="M15" s="913">
        <f t="shared" si="1"/>
        <v>129305.195546667</v>
      </c>
      <c r="N15" s="928">
        <f t="shared" si="2"/>
        <v>138982.38778666599</v>
      </c>
    </row>
    <row r="16" spans="1:14" s="896" customFormat="1" ht="30" customHeight="1">
      <c r="A16" s="907">
        <v>9</v>
      </c>
      <c r="B16" s="909" t="s">
        <v>831</v>
      </c>
      <c r="C16" s="910" t="s">
        <v>661</v>
      </c>
      <c r="D16" s="910" t="s">
        <v>277</v>
      </c>
      <c r="E16" s="911">
        <f t="shared" si="3"/>
        <v>218287.58333333299</v>
      </c>
      <c r="F16" s="912">
        <f t="shared" si="4"/>
        <v>50000</v>
      </c>
      <c r="G16" s="912"/>
      <c r="H16" s="913">
        <f t="shared" si="0"/>
        <v>268287.58333333302</v>
      </c>
      <c r="I16" s="927"/>
      <c r="J16" s="927"/>
      <c r="K16" s="927"/>
      <c r="L16" s="919">
        <v>29305.195546666699</v>
      </c>
      <c r="M16" s="913">
        <f t="shared" si="1"/>
        <v>29305.195546666699</v>
      </c>
      <c r="N16" s="928">
        <f t="shared" si="2"/>
        <v>238982.38778666599</v>
      </c>
    </row>
    <row r="17" spans="1:14" s="896" customFormat="1" ht="30" customHeight="1">
      <c r="A17" s="907">
        <v>10</v>
      </c>
      <c r="B17" s="916" t="s">
        <v>832</v>
      </c>
      <c r="C17" s="910" t="s">
        <v>661</v>
      </c>
      <c r="D17" s="907" t="s">
        <v>578</v>
      </c>
      <c r="E17" s="914">
        <v>716034</v>
      </c>
      <c r="F17" s="917">
        <v>90000</v>
      </c>
      <c r="G17" s="918"/>
      <c r="H17" s="913">
        <f t="shared" si="0"/>
        <v>806034</v>
      </c>
      <c r="I17" s="927">
        <v>100000</v>
      </c>
      <c r="J17" s="927">
        <v>140000</v>
      </c>
      <c r="K17" s="927">
        <v>100000</v>
      </c>
      <c r="L17" s="927">
        <v>133425.19</v>
      </c>
      <c r="M17" s="913">
        <f t="shared" si="1"/>
        <v>473425.19</v>
      </c>
      <c r="N17" s="928">
        <f t="shared" si="2"/>
        <v>332608.81</v>
      </c>
    </row>
    <row r="18" spans="1:14" s="896" customFormat="1" ht="30" customHeight="1">
      <c r="A18" s="907">
        <v>11</v>
      </c>
      <c r="B18" s="909" t="s">
        <v>833</v>
      </c>
      <c r="C18" s="907" t="s">
        <v>825</v>
      </c>
      <c r="D18" s="910" t="s">
        <v>225</v>
      </c>
      <c r="E18" s="911">
        <f t="shared" ref="E18:E25" si="5">255849</f>
        <v>255849</v>
      </c>
      <c r="F18" s="912">
        <f>100000</f>
        <v>100000</v>
      </c>
      <c r="G18" s="912"/>
      <c r="H18" s="913">
        <f t="shared" si="0"/>
        <v>355849</v>
      </c>
      <c r="I18" s="927"/>
      <c r="J18" s="927"/>
      <c r="K18" s="927"/>
      <c r="L18" s="919">
        <v>46989.67</v>
      </c>
      <c r="M18" s="913">
        <f t="shared" si="1"/>
        <v>46989.67</v>
      </c>
      <c r="N18" s="928">
        <f t="shared" si="2"/>
        <v>308859.33</v>
      </c>
    </row>
    <row r="19" spans="1:14" s="896" customFormat="1" ht="30" customHeight="1">
      <c r="A19" s="907">
        <v>12</v>
      </c>
      <c r="B19" s="909" t="s">
        <v>834</v>
      </c>
      <c r="C19" s="910" t="s">
        <v>661</v>
      </c>
      <c r="D19" s="907" t="s">
        <v>42</v>
      </c>
      <c r="E19" s="919">
        <v>582118.08333333302</v>
      </c>
      <c r="F19" s="917">
        <v>80000</v>
      </c>
      <c r="G19" s="907"/>
      <c r="H19" s="913">
        <f t="shared" si="0"/>
        <v>662118.08333333302</v>
      </c>
      <c r="I19" s="919">
        <v>50000</v>
      </c>
      <c r="J19" s="919"/>
      <c r="K19" s="919"/>
      <c r="L19" s="919">
        <v>105793.338666667</v>
      </c>
      <c r="M19" s="913">
        <f t="shared" si="1"/>
        <v>155793.338666667</v>
      </c>
      <c r="N19" s="928">
        <f t="shared" si="2"/>
        <v>506324.74466666603</v>
      </c>
    </row>
    <row r="20" spans="1:14" s="896" customFormat="1" ht="30" customHeight="1">
      <c r="A20" s="907">
        <v>13</v>
      </c>
      <c r="B20" s="909" t="s">
        <v>835</v>
      </c>
      <c r="C20" s="910" t="s">
        <v>836</v>
      </c>
      <c r="D20" s="910" t="s">
        <v>225</v>
      </c>
      <c r="E20" s="911">
        <f t="shared" si="5"/>
        <v>255849</v>
      </c>
      <c r="F20" s="912">
        <f>100000+200000</f>
        <v>300000</v>
      </c>
      <c r="G20" s="912"/>
      <c r="H20" s="913">
        <f t="shared" si="0"/>
        <v>555849</v>
      </c>
      <c r="I20" s="927"/>
      <c r="J20" s="927"/>
      <c r="K20" s="927"/>
      <c r="L20" s="919">
        <v>80860</v>
      </c>
      <c r="M20" s="913">
        <f t="shared" si="1"/>
        <v>80860</v>
      </c>
      <c r="N20" s="928">
        <f t="shared" si="2"/>
        <v>474989</v>
      </c>
    </row>
    <row r="21" spans="1:14" s="896" customFormat="1" ht="30" customHeight="1">
      <c r="A21" s="907">
        <v>14</v>
      </c>
      <c r="B21" s="909" t="s">
        <v>837</v>
      </c>
      <c r="C21" s="910" t="s">
        <v>661</v>
      </c>
      <c r="D21" s="910" t="s">
        <v>574</v>
      </c>
      <c r="E21" s="911">
        <f>428870.75</f>
        <v>428870.75</v>
      </c>
      <c r="F21" s="912">
        <f>70000</f>
        <v>70000</v>
      </c>
      <c r="G21" s="912"/>
      <c r="H21" s="913">
        <f t="shared" si="0"/>
        <v>498870.75</v>
      </c>
      <c r="I21" s="927"/>
      <c r="J21" s="927"/>
      <c r="K21" s="927">
        <v>25000</v>
      </c>
      <c r="L21" s="927">
        <v>74449.850000000006</v>
      </c>
      <c r="M21" s="913">
        <f t="shared" si="1"/>
        <v>99449.85</v>
      </c>
      <c r="N21" s="928">
        <f t="shared" si="2"/>
        <v>399420.9</v>
      </c>
    </row>
    <row r="22" spans="1:14" s="896" customFormat="1" ht="30" customHeight="1">
      <c r="A22" s="907">
        <v>15</v>
      </c>
      <c r="B22" s="909" t="s">
        <v>838</v>
      </c>
      <c r="C22" s="910" t="s">
        <v>661</v>
      </c>
      <c r="D22" s="910" t="s">
        <v>225</v>
      </c>
      <c r="E22" s="911">
        <f t="shared" si="5"/>
        <v>255849</v>
      </c>
      <c r="F22" s="912">
        <v>100000</v>
      </c>
      <c r="G22" s="912"/>
      <c r="H22" s="913">
        <f t="shared" si="0"/>
        <v>355849</v>
      </c>
      <c r="I22" s="927"/>
      <c r="J22" s="927"/>
      <c r="K22" s="927"/>
      <c r="L22" s="919">
        <v>46989.67</v>
      </c>
      <c r="M22" s="913">
        <f t="shared" si="1"/>
        <v>46989.67</v>
      </c>
      <c r="N22" s="928">
        <f t="shared" si="2"/>
        <v>308859.33</v>
      </c>
    </row>
    <row r="23" spans="1:14" s="896" customFormat="1" ht="30" customHeight="1">
      <c r="A23" s="907">
        <v>16</v>
      </c>
      <c r="B23" s="909" t="s">
        <v>839</v>
      </c>
      <c r="C23" s="910" t="s">
        <v>661</v>
      </c>
      <c r="D23" s="910" t="s">
        <v>225</v>
      </c>
      <c r="E23" s="911">
        <f t="shared" si="5"/>
        <v>255849</v>
      </c>
      <c r="F23" s="912">
        <v>100000</v>
      </c>
      <c r="G23" s="912"/>
      <c r="H23" s="913">
        <f t="shared" si="0"/>
        <v>355849</v>
      </c>
      <c r="I23" s="927"/>
      <c r="J23" s="927"/>
      <c r="K23" s="927">
        <v>30000</v>
      </c>
      <c r="L23" s="919">
        <v>46989.67</v>
      </c>
      <c r="M23" s="913">
        <f t="shared" si="1"/>
        <v>76989.67</v>
      </c>
      <c r="N23" s="928">
        <f t="shared" si="2"/>
        <v>278859.33</v>
      </c>
    </row>
    <row r="24" spans="1:14" s="896" customFormat="1" ht="30" customHeight="1">
      <c r="A24" s="907">
        <v>17</v>
      </c>
      <c r="B24" s="909" t="s">
        <v>840</v>
      </c>
      <c r="C24" s="910" t="s">
        <v>661</v>
      </c>
      <c r="D24" s="910" t="s">
        <v>225</v>
      </c>
      <c r="E24" s="911">
        <f t="shared" si="5"/>
        <v>255849</v>
      </c>
      <c r="F24" s="912">
        <v>100000</v>
      </c>
      <c r="G24" s="912"/>
      <c r="H24" s="913">
        <f t="shared" si="0"/>
        <v>355849</v>
      </c>
      <c r="I24" s="927"/>
      <c r="J24" s="927"/>
      <c r="K24" s="927"/>
      <c r="L24" s="919">
        <v>46989.67</v>
      </c>
      <c r="M24" s="913">
        <f t="shared" si="1"/>
        <v>46989.67</v>
      </c>
      <c r="N24" s="928">
        <f t="shared" si="2"/>
        <v>308859.33</v>
      </c>
    </row>
    <row r="25" spans="1:14" s="896" customFormat="1" ht="30" customHeight="1">
      <c r="A25" s="907">
        <v>18</v>
      </c>
      <c r="B25" s="909" t="s">
        <v>841</v>
      </c>
      <c r="C25" s="910" t="s">
        <v>661</v>
      </c>
      <c r="D25" s="910" t="s">
        <v>225</v>
      </c>
      <c r="E25" s="911">
        <f t="shared" si="5"/>
        <v>255849</v>
      </c>
      <c r="F25" s="912">
        <v>100000</v>
      </c>
      <c r="G25" s="912"/>
      <c r="H25" s="913">
        <f t="shared" si="0"/>
        <v>355849</v>
      </c>
      <c r="I25" s="927"/>
      <c r="J25" s="927"/>
      <c r="K25" s="927">
        <v>32000</v>
      </c>
      <c r="L25" s="919">
        <v>46989.67</v>
      </c>
      <c r="M25" s="913">
        <f t="shared" si="1"/>
        <v>78989.67</v>
      </c>
      <c r="N25" s="928">
        <f t="shared" si="2"/>
        <v>276859.33</v>
      </c>
    </row>
    <row r="26" spans="1:14" s="896" customFormat="1" ht="30" customHeight="1">
      <c r="A26" s="907">
        <v>19</v>
      </c>
      <c r="B26" s="909" t="s">
        <v>771</v>
      </c>
      <c r="C26" s="910" t="s">
        <v>825</v>
      </c>
      <c r="D26" s="910" t="s">
        <v>179</v>
      </c>
      <c r="E26" s="911">
        <f>353512.5+39820.12</f>
        <v>393332.62</v>
      </c>
      <c r="F26" s="912">
        <f>110000</f>
        <v>110000</v>
      </c>
      <c r="G26" s="912"/>
      <c r="H26" s="913">
        <f t="shared" si="0"/>
        <v>503332.62</v>
      </c>
      <c r="I26" s="927"/>
      <c r="J26" s="927"/>
      <c r="K26" s="927"/>
      <c r="L26" s="917">
        <f>75306.53</f>
        <v>75306.53</v>
      </c>
      <c r="M26" s="913">
        <f t="shared" si="1"/>
        <v>75306.53</v>
      </c>
      <c r="N26" s="928">
        <f t="shared" si="2"/>
        <v>428026.09</v>
      </c>
    </row>
    <row r="27" spans="1:14" s="896" customFormat="1" ht="30" customHeight="1">
      <c r="A27" s="907">
        <v>20</v>
      </c>
      <c r="B27" s="909" t="s">
        <v>842</v>
      </c>
      <c r="C27" s="910" t="s">
        <v>661</v>
      </c>
      <c r="D27" s="910" t="s">
        <v>42</v>
      </c>
      <c r="E27" s="911">
        <v>582118.08333333302</v>
      </c>
      <c r="F27" s="912">
        <v>160000</v>
      </c>
      <c r="G27" s="912"/>
      <c r="H27" s="913">
        <f t="shared" si="0"/>
        <v>742118.08333333302</v>
      </c>
      <c r="I27" s="927"/>
      <c r="J27" s="927"/>
      <c r="K27" s="927"/>
      <c r="L27" s="917">
        <v>121153.34</v>
      </c>
      <c r="M27" s="913">
        <f t="shared" si="1"/>
        <v>121153.34</v>
      </c>
      <c r="N27" s="928">
        <f t="shared" si="2"/>
        <v>620964.74333333306</v>
      </c>
    </row>
    <row r="28" spans="1:14" s="896" customFormat="1" ht="30" customHeight="1">
      <c r="A28" s="920">
        <v>21</v>
      </c>
      <c r="B28" s="909" t="s">
        <v>843</v>
      </c>
      <c r="C28" s="907" t="s">
        <v>825</v>
      </c>
      <c r="D28" s="907" t="s">
        <v>81</v>
      </c>
      <c r="E28" s="914">
        <f>293029.666666667</f>
        <v>293029.66666666698</v>
      </c>
      <c r="F28" s="915">
        <v>60000</v>
      </c>
      <c r="G28" s="912"/>
      <c r="H28" s="913">
        <f t="shared" si="0"/>
        <v>353029.66666666698</v>
      </c>
      <c r="I28" s="927"/>
      <c r="J28" s="927"/>
      <c r="K28" s="927"/>
      <c r="L28" s="927">
        <v>42537.331946666702</v>
      </c>
      <c r="M28" s="913">
        <f t="shared" si="1"/>
        <v>42537.331946666702</v>
      </c>
      <c r="N28" s="928">
        <f t="shared" si="2"/>
        <v>310492.33471999998</v>
      </c>
    </row>
    <row r="29" spans="1:14" s="896" customFormat="1" ht="30" customHeight="1">
      <c r="A29" s="907">
        <v>22</v>
      </c>
      <c r="B29" s="909" t="s">
        <v>844</v>
      </c>
      <c r="C29" s="907" t="s">
        <v>825</v>
      </c>
      <c r="D29" s="910" t="s">
        <v>42</v>
      </c>
      <c r="E29" s="911">
        <f>582118.083333333</f>
        <v>582118.08333333302</v>
      </c>
      <c r="F29" s="912">
        <f>160000</f>
        <v>160000</v>
      </c>
      <c r="G29" s="912"/>
      <c r="H29" s="913">
        <f t="shared" si="0"/>
        <v>742118.08333333302</v>
      </c>
      <c r="I29" s="927"/>
      <c r="J29" s="927"/>
      <c r="K29" s="927"/>
      <c r="L29" s="917">
        <f>121153.34</f>
        <v>121153.34</v>
      </c>
      <c r="M29" s="913">
        <f t="shared" si="1"/>
        <v>121153.34</v>
      </c>
      <c r="N29" s="928">
        <f t="shared" si="2"/>
        <v>620964.74333333306</v>
      </c>
    </row>
    <row r="30" spans="1:14" s="896" customFormat="1" ht="30" customHeight="1">
      <c r="A30" s="907">
        <v>23</v>
      </c>
      <c r="B30" s="916" t="s">
        <v>845</v>
      </c>
      <c r="C30" s="907" t="s">
        <v>825</v>
      </c>
      <c r="D30" s="910" t="s">
        <v>277</v>
      </c>
      <c r="E30" s="911">
        <f t="shared" ref="E30:E32" si="6">218287.583333333</f>
        <v>218287.58333333299</v>
      </c>
      <c r="F30" s="912">
        <f t="shared" ref="F30:F32" si="7">50000</f>
        <v>50000</v>
      </c>
      <c r="G30" s="912"/>
      <c r="H30" s="913">
        <f t="shared" si="0"/>
        <v>268287.58333333302</v>
      </c>
      <c r="I30" s="927"/>
      <c r="J30" s="927"/>
      <c r="K30" s="927"/>
      <c r="L30" s="919">
        <v>29305.195546666699</v>
      </c>
      <c r="M30" s="913">
        <f t="shared" si="1"/>
        <v>29305.195546666699</v>
      </c>
      <c r="N30" s="928">
        <f t="shared" si="2"/>
        <v>238982.38778666599</v>
      </c>
    </row>
    <row r="31" spans="1:14" s="896" customFormat="1" ht="30" customHeight="1">
      <c r="A31" s="907">
        <v>24</v>
      </c>
      <c r="B31" s="916" t="s">
        <v>846</v>
      </c>
      <c r="C31" s="907" t="s">
        <v>825</v>
      </c>
      <c r="D31" s="910" t="s">
        <v>277</v>
      </c>
      <c r="E31" s="911">
        <f t="shared" si="6"/>
        <v>218287.58333333299</v>
      </c>
      <c r="F31" s="912">
        <f t="shared" si="7"/>
        <v>50000</v>
      </c>
      <c r="G31" s="912"/>
      <c r="H31" s="913">
        <f t="shared" si="0"/>
        <v>268287.58333333302</v>
      </c>
      <c r="I31" s="927"/>
      <c r="J31" s="927"/>
      <c r="K31" s="927"/>
      <c r="L31" s="919">
        <v>29305.195546666699</v>
      </c>
      <c r="M31" s="913">
        <f t="shared" si="1"/>
        <v>29305.195546666699</v>
      </c>
      <c r="N31" s="928">
        <f t="shared" si="2"/>
        <v>238982.38778666599</v>
      </c>
    </row>
    <row r="32" spans="1:14" s="896" customFormat="1" ht="30" customHeight="1">
      <c r="A32" s="907">
        <v>25</v>
      </c>
      <c r="B32" s="916" t="s">
        <v>847</v>
      </c>
      <c r="C32" s="907" t="s">
        <v>825</v>
      </c>
      <c r="D32" s="910" t="s">
        <v>277</v>
      </c>
      <c r="E32" s="911">
        <f t="shared" si="6"/>
        <v>218287.58333333299</v>
      </c>
      <c r="F32" s="912">
        <f t="shared" si="7"/>
        <v>50000</v>
      </c>
      <c r="G32" s="912"/>
      <c r="H32" s="913">
        <f t="shared" si="0"/>
        <v>268287.58333333302</v>
      </c>
      <c r="I32" s="927"/>
      <c r="J32" s="927"/>
      <c r="K32" s="927"/>
      <c r="L32" s="919">
        <v>29305.195546666699</v>
      </c>
      <c r="M32" s="913">
        <f t="shared" si="1"/>
        <v>29305.195546666699</v>
      </c>
      <c r="N32" s="928">
        <f t="shared" si="2"/>
        <v>238982.38778666599</v>
      </c>
    </row>
    <row r="33" spans="1:14" s="896" customFormat="1" ht="30" customHeight="1">
      <c r="A33" s="907">
        <v>26</v>
      </c>
      <c r="B33" s="916" t="s">
        <v>848</v>
      </c>
      <c r="C33" s="907" t="s">
        <v>825</v>
      </c>
      <c r="D33" s="910" t="s">
        <v>225</v>
      </c>
      <c r="E33" s="911">
        <f t="shared" ref="E33:E36" si="8">255849</f>
        <v>255849</v>
      </c>
      <c r="F33" s="912">
        <f t="shared" ref="F33:F36" si="9">60000</f>
        <v>60000</v>
      </c>
      <c r="G33" s="912"/>
      <c r="H33" s="913">
        <f t="shared" si="0"/>
        <v>315849</v>
      </c>
      <c r="I33" s="927"/>
      <c r="J33" s="927"/>
      <c r="K33" s="927"/>
      <c r="L33" s="919">
        <v>40229.298666666698</v>
      </c>
      <c r="M33" s="913">
        <f t="shared" si="1"/>
        <v>40229.298666666698</v>
      </c>
      <c r="N33" s="928">
        <f t="shared" si="2"/>
        <v>275619.70133333298</v>
      </c>
    </row>
    <row r="34" spans="1:14" s="896" customFormat="1" ht="30" customHeight="1">
      <c r="A34" s="907">
        <v>27</v>
      </c>
      <c r="B34" s="916" t="s">
        <v>849</v>
      </c>
      <c r="C34" s="907" t="s">
        <v>825</v>
      </c>
      <c r="D34" s="910" t="s">
        <v>225</v>
      </c>
      <c r="E34" s="911">
        <f t="shared" si="8"/>
        <v>255849</v>
      </c>
      <c r="F34" s="912">
        <f t="shared" si="9"/>
        <v>60000</v>
      </c>
      <c r="G34" s="912"/>
      <c r="H34" s="913">
        <f t="shared" si="0"/>
        <v>315849</v>
      </c>
      <c r="I34" s="927"/>
      <c r="J34" s="927"/>
      <c r="K34" s="927"/>
      <c r="L34" s="919">
        <v>40229.298666666698</v>
      </c>
      <c r="M34" s="913">
        <f t="shared" si="1"/>
        <v>40229.298666666698</v>
      </c>
      <c r="N34" s="928">
        <f t="shared" si="2"/>
        <v>275619.70133333298</v>
      </c>
    </row>
    <row r="35" spans="1:14" s="896" customFormat="1" ht="30" customHeight="1">
      <c r="A35" s="907">
        <v>28</v>
      </c>
      <c r="B35" s="916" t="s">
        <v>850</v>
      </c>
      <c r="C35" s="907" t="s">
        <v>825</v>
      </c>
      <c r="D35" s="910" t="s">
        <v>225</v>
      </c>
      <c r="E35" s="911">
        <f t="shared" si="8"/>
        <v>255849</v>
      </c>
      <c r="F35" s="912">
        <f t="shared" si="9"/>
        <v>60000</v>
      </c>
      <c r="G35" s="912"/>
      <c r="H35" s="913">
        <f t="shared" si="0"/>
        <v>315849</v>
      </c>
      <c r="I35" s="927"/>
      <c r="J35" s="927"/>
      <c r="K35" s="927"/>
      <c r="L35" s="919">
        <v>40229.298666666698</v>
      </c>
      <c r="M35" s="913">
        <f t="shared" si="1"/>
        <v>40229.298666666698</v>
      </c>
      <c r="N35" s="928">
        <f t="shared" si="2"/>
        <v>275619.70133333298</v>
      </c>
    </row>
    <row r="36" spans="1:14" s="896" customFormat="1" ht="30" customHeight="1">
      <c r="A36" s="907">
        <v>29</v>
      </c>
      <c r="B36" s="916" t="s">
        <v>851</v>
      </c>
      <c r="C36" s="907" t="s">
        <v>825</v>
      </c>
      <c r="D36" s="910" t="s">
        <v>225</v>
      </c>
      <c r="E36" s="911">
        <f t="shared" si="8"/>
        <v>255849</v>
      </c>
      <c r="F36" s="912">
        <f t="shared" si="9"/>
        <v>60000</v>
      </c>
      <c r="G36" s="912"/>
      <c r="H36" s="913">
        <f t="shared" si="0"/>
        <v>315849</v>
      </c>
      <c r="I36" s="927"/>
      <c r="J36" s="927"/>
      <c r="K36" s="927"/>
      <c r="L36" s="919">
        <v>40229.298666666698</v>
      </c>
      <c r="M36" s="913">
        <f t="shared" si="1"/>
        <v>40229.298666666698</v>
      </c>
      <c r="N36" s="928">
        <f t="shared" si="2"/>
        <v>275619.70133333298</v>
      </c>
    </row>
    <row r="37" spans="1:14" s="896" customFormat="1" ht="30" customHeight="1">
      <c r="A37" s="907">
        <v>30</v>
      </c>
      <c r="B37" s="916" t="s">
        <v>852</v>
      </c>
      <c r="C37" s="907" t="s">
        <v>825</v>
      </c>
      <c r="D37" s="907" t="s">
        <v>81</v>
      </c>
      <c r="E37" s="914">
        <f>293029.666666667</f>
        <v>293029.66666666698</v>
      </c>
      <c r="F37" s="915">
        <v>60000</v>
      </c>
      <c r="G37" s="912"/>
      <c r="H37" s="913">
        <f t="shared" si="0"/>
        <v>353029.66666666698</v>
      </c>
      <c r="I37" s="927"/>
      <c r="J37" s="927"/>
      <c r="K37" s="927">
        <v>12000</v>
      </c>
      <c r="L37" s="927">
        <v>42537.331946666702</v>
      </c>
      <c r="M37" s="913">
        <f t="shared" si="1"/>
        <v>54537.331946666702</v>
      </c>
      <c r="N37" s="928">
        <f t="shared" si="2"/>
        <v>298492.33471999998</v>
      </c>
    </row>
    <row r="38" spans="1:14" s="896" customFormat="1" ht="30" customHeight="1">
      <c r="A38" s="907">
        <v>31</v>
      </c>
      <c r="B38" s="916" t="s">
        <v>853</v>
      </c>
      <c r="C38" s="907" t="s">
        <v>825</v>
      </c>
      <c r="D38" s="910" t="s">
        <v>179</v>
      </c>
      <c r="E38" s="911">
        <f>353512.5</f>
        <v>353512.5</v>
      </c>
      <c r="F38" s="912">
        <f>60000</f>
        <v>60000</v>
      </c>
      <c r="G38" s="912"/>
      <c r="H38" s="913">
        <f t="shared" si="0"/>
        <v>413512.5</v>
      </c>
      <c r="I38" s="927"/>
      <c r="J38" s="927"/>
      <c r="K38" s="927"/>
      <c r="L38" s="917">
        <v>58061.066666666702</v>
      </c>
      <c r="M38" s="913">
        <f t="shared" si="1"/>
        <v>58061.066666666702</v>
      </c>
      <c r="N38" s="928">
        <f t="shared" si="2"/>
        <v>355451.433333333</v>
      </c>
    </row>
    <row r="39" spans="1:14" s="896" customFormat="1" ht="30" customHeight="1">
      <c r="A39" s="907">
        <v>32</v>
      </c>
      <c r="B39" s="916" t="s">
        <v>854</v>
      </c>
      <c r="C39" s="907" t="s">
        <v>825</v>
      </c>
      <c r="D39" s="910" t="s">
        <v>179</v>
      </c>
      <c r="E39" s="911">
        <f>353512.5</f>
        <v>353512.5</v>
      </c>
      <c r="F39" s="912">
        <f>60000</f>
        <v>60000</v>
      </c>
      <c r="G39" s="912"/>
      <c r="H39" s="913">
        <f t="shared" si="0"/>
        <v>413512.5</v>
      </c>
      <c r="I39" s="927"/>
      <c r="J39" s="927"/>
      <c r="K39" s="927"/>
      <c r="L39" s="917">
        <v>58061.066666666702</v>
      </c>
      <c r="M39" s="913">
        <f t="shared" si="1"/>
        <v>58061.066666666702</v>
      </c>
      <c r="N39" s="928">
        <f t="shared" si="2"/>
        <v>355451.433333333</v>
      </c>
    </row>
    <row r="40" spans="1:14" s="896" customFormat="1" ht="30" customHeight="1">
      <c r="A40" s="907">
        <v>33</v>
      </c>
      <c r="B40" s="916" t="s">
        <v>855</v>
      </c>
      <c r="C40" s="910" t="s">
        <v>661</v>
      </c>
      <c r="D40" s="910" t="s">
        <v>277</v>
      </c>
      <c r="E40" s="911">
        <f>218287.583333333</f>
        <v>218287.58333333299</v>
      </c>
      <c r="F40" s="912">
        <f>50000</f>
        <v>50000</v>
      </c>
      <c r="G40" s="912"/>
      <c r="H40" s="913">
        <f>(E40+F40+G40)</f>
        <v>268287.58333333302</v>
      </c>
      <c r="I40" s="927"/>
      <c r="J40" s="927"/>
      <c r="K40" s="927"/>
      <c r="L40" s="919">
        <v>29305.195546666699</v>
      </c>
      <c r="M40" s="913">
        <f t="shared" si="1"/>
        <v>29305.195546666699</v>
      </c>
      <c r="N40" s="928">
        <f t="shared" si="2"/>
        <v>238982.38778666599</v>
      </c>
    </row>
    <row r="41" spans="1:14" s="896" customFormat="1" ht="30" customHeight="1">
      <c r="A41" s="907">
        <v>34</v>
      </c>
      <c r="B41" s="916" t="s">
        <v>856</v>
      </c>
      <c r="C41" s="910" t="s">
        <v>825</v>
      </c>
      <c r="D41" s="910" t="s">
        <v>225</v>
      </c>
      <c r="E41" s="911">
        <f>255849</f>
        <v>255849</v>
      </c>
      <c r="F41" s="912">
        <f>100000</f>
        <v>100000</v>
      </c>
      <c r="G41" s="912"/>
      <c r="H41" s="913">
        <f t="shared" ref="H41:H46" si="10">E41+F41+G41</f>
        <v>355849</v>
      </c>
      <c r="I41" s="927"/>
      <c r="J41" s="927"/>
      <c r="K41" s="927">
        <v>50000</v>
      </c>
      <c r="L41" s="927">
        <v>46989.67</v>
      </c>
      <c r="M41" s="913">
        <f t="shared" si="1"/>
        <v>96989.67</v>
      </c>
      <c r="N41" s="928">
        <f t="shared" si="2"/>
        <v>258859.33</v>
      </c>
    </row>
    <row r="42" spans="1:14" s="896" customFormat="1" ht="30" customHeight="1">
      <c r="A42" s="907">
        <v>35</v>
      </c>
      <c r="B42" s="921" t="s">
        <v>857</v>
      </c>
      <c r="C42" s="910" t="s">
        <v>825</v>
      </c>
      <c r="D42" s="922" t="s">
        <v>67</v>
      </c>
      <c r="E42" s="923">
        <f>390248.916666667</f>
        <v>390248.91666666698</v>
      </c>
      <c r="F42" s="923">
        <f>70000</f>
        <v>70000</v>
      </c>
      <c r="G42" s="923"/>
      <c r="H42" s="913">
        <f t="shared" si="10"/>
        <v>460248.91666666698</v>
      </c>
      <c r="I42" s="913"/>
      <c r="J42" s="913"/>
      <c r="K42" s="913"/>
      <c r="L42" s="913">
        <v>67034.460000000006</v>
      </c>
      <c r="M42" s="913">
        <f t="shared" si="1"/>
        <v>67034.460000000006</v>
      </c>
      <c r="N42" s="928">
        <f t="shared" si="2"/>
        <v>393214.45666666701</v>
      </c>
    </row>
    <row r="43" spans="1:14" s="896" customFormat="1" ht="36.950000000000003" customHeight="1">
      <c r="A43" s="907">
        <v>32</v>
      </c>
      <c r="B43" s="916" t="s">
        <v>858</v>
      </c>
      <c r="C43" s="907" t="s">
        <v>859</v>
      </c>
      <c r="D43" s="910" t="s">
        <v>179</v>
      </c>
      <c r="E43" s="911">
        <f>353512.5+203512.5</f>
        <v>557025</v>
      </c>
      <c r="F43" s="912">
        <f>60000+60000</f>
        <v>120000</v>
      </c>
      <c r="G43" s="912"/>
      <c r="H43" s="913">
        <f t="shared" si="10"/>
        <v>677025</v>
      </c>
      <c r="I43" s="927"/>
      <c r="J43" s="927"/>
      <c r="K43" s="927"/>
      <c r="L43" s="917">
        <v>99840.19</v>
      </c>
      <c r="M43" s="913">
        <f t="shared" si="1"/>
        <v>99840.19</v>
      </c>
      <c r="N43" s="928">
        <f t="shared" si="2"/>
        <v>577184.81000000006</v>
      </c>
    </row>
    <row r="44" spans="1:14" s="896" customFormat="1" ht="30" customHeight="1">
      <c r="A44" s="907">
        <v>23</v>
      </c>
      <c r="B44" s="916" t="s">
        <v>860</v>
      </c>
      <c r="C44" s="907" t="s">
        <v>825</v>
      </c>
      <c r="D44" s="910" t="s">
        <v>374</v>
      </c>
      <c r="E44" s="911">
        <v>173860</v>
      </c>
      <c r="F44" s="912">
        <v>30000</v>
      </c>
      <c r="G44" s="912"/>
      <c r="H44" s="913">
        <f t="shared" si="10"/>
        <v>203860</v>
      </c>
      <c r="I44" s="919">
        <f>5000</f>
        <v>5000</v>
      </c>
      <c r="J44" s="919">
        <v>8750</v>
      </c>
      <c r="K44" s="927"/>
      <c r="L44" s="919">
        <v>18553.77</v>
      </c>
      <c r="M44" s="913">
        <f t="shared" si="1"/>
        <v>32303.77</v>
      </c>
      <c r="N44" s="928">
        <f t="shared" si="2"/>
        <v>171556.23</v>
      </c>
    </row>
    <row r="45" spans="1:14" s="896" customFormat="1" ht="30" customHeight="1">
      <c r="A45" s="907">
        <v>23</v>
      </c>
      <c r="B45" s="916" t="s">
        <v>861</v>
      </c>
      <c r="C45" s="907" t="s">
        <v>825</v>
      </c>
      <c r="D45" s="910" t="s">
        <v>374</v>
      </c>
      <c r="E45" s="911">
        <v>173860</v>
      </c>
      <c r="F45" s="912">
        <v>30000</v>
      </c>
      <c r="G45" s="912"/>
      <c r="H45" s="913">
        <f t="shared" si="10"/>
        <v>203860</v>
      </c>
      <c r="I45" s="927"/>
      <c r="J45" s="927"/>
      <c r="K45" s="927"/>
      <c r="L45" s="919">
        <v>18553.77</v>
      </c>
      <c r="M45" s="913">
        <f t="shared" si="1"/>
        <v>18553.77</v>
      </c>
      <c r="N45" s="928">
        <f t="shared" si="2"/>
        <v>185306.23</v>
      </c>
    </row>
    <row r="46" spans="1:14" s="896" customFormat="1" ht="30" customHeight="1">
      <c r="A46" s="907">
        <v>34</v>
      </c>
      <c r="B46" s="916" t="s">
        <v>862</v>
      </c>
      <c r="C46" s="910" t="s">
        <v>863</v>
      </c>
      <c r="D46" s="910" t="s">
        <v>225</v>
      </c>
      <c r="E46" s="911">
        <f>255849*(16/31)</f>
        <v>132051.09677419401</v>
      </c>
      <c r="F46" s="912">
        <f>100000*(16/31)</f>
        <v>51612.903225806403</v>
      </c>
      <c r="G46" s="912"/>
      <c r="H46" s="913">
        <f t="shared" si="10"/>
        <v>183664</v>
      </c>
      <c r="I46" s="927"/>
      <c r="J46" s="927"/>
      <c r="K46" s="927"/>
      <c r="L46" s="927">
        <v>16303.9</v>
      </c>
      <c r="M46" s="913">
        <f t="shared" si="1"/>
        <v>16303.9</v>
      </c>
      <c r="N46" s="928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K6" sqref="K6"/>
    </sheetView>
  </sheetViews>
  <sheetFormatPr defaultColWidth="8.7109375" defaultRowHeight="12.75"/>
  <cols>
    <col min="1" max="1" width="18.85546875" customWidth="1"/>
    <col min="2" max="2" width="26.42578125" customWidth="1"/>
    <col min="3" max="3" width="14" customWidth="1"/>
    <col min="4" max="4" width="15.42578125" customWidth="1"/>
    <col min="6" max="6" width="15.140625"/>
    <col min="8" max="8" width="13.5703125"/>
    <col min="9" max="9" width="15.140625"/>
    <col min="10" max="10" width="11.7109375"/>
    <col min="11" max="11" width="15.140625"/>
    <col min="12" max="12" width="13.5703125"/>
    <col min="13" max="14" width="15.140625"/>
    <col min="15" max="15" width="15.7109375" customWidth="1"/>
    <col min="16" max="16" width="11.5703125" customWidth="1"/>
  </cols>
  <sheetData>
    <row r="1" spans="1:15" s="718" customFormat="1" ht="49.5" customHeight="1">
      <c r="A1" s="642" t="s">
        <v>2</v>
      </c>
      <c r="B1" s="643" t="s">
        <v>3</v>
      </c>
      <c r="C1" s="644" t="s">
        <v>4</v>
      </c>
      <c r="D1" s="636" t="s">
        <v>5</v>
      </c>
      <c r="E1" s="636" t="s">
        <v>6</v>
      </c>
      <c r="F1" s="636" t="s">
        <v>7</v>
      </c>
      <c r="G1" s="636" t="s">
        <v>7</v>
      </c>
      <c r="H1" s="636" t="s">
        <v>8</v>
      </c>
      <c r="I1" s="645" t="s">
        <v>9</v>
      </c>
      <c r="J1" s="636" t="s">
        <v>15</v>
      </c>
      <c r="K1" s="890" t="s">
        <v>16</v>
      </c>
      <c r="L1" s="636" t="s">
        <v>17</v>
      </c>
      <c r="M1" s="646"/>
      <c r="N1" s="645" t="s">
        <v>759</v>
      </c>
      <c r="O1" s="647" t="s">
        <v>864</v>
      </c>
    </row>
    <row r="2" spans="1:15" s="1" customFormat="1" ht="17.25" customHeight="1">
      <c r="B2" s="6"/>
      <c r="C2" s="6"/>
      <c r="D2" s="67" t="s">
        <v>21</v>
      </c>
      <c r="E2" s="67" t="s">
        <v>21</v>
      </c>
      <c r="F2" s="67" t="s">
        <v>21</v>
      </c>
      <c r="G2" s="67" t="s">
        <v>21</v>
      </c>
      <c r="H2" s="67" t="s">
        <v>21</v>
      </c>
      <c r="I2" s="464" t="s">
        <v>21</v>
      </c>
      <c r="J2" s="67" t="s">
        <v>21</v>
      </c>
      <c r="K2" s="67" t="s">
        <v>21</v>
      </c>
      <c r="L2" s="67" t="s">
        <v>21</v>
      </c>
      <c r="M2" s="465"/>
      <c r="N2" s="67"/>
      <c r="O2" s="464"/>
    </row>
    <row r="3" spans="1:15" s="718" customFormat="1" ht="36.950000000000003" customHeight="1">
      <c r="A3" s="724" t="s">
        <v>244</v>
      </c>
      <c r="B3" s="725" t="s">
        <v>629</v>
      </c>
      <c r="C3" s="689" t="s">
        <v>56</v>
      </c>
      <c r="D3" s="691">
        <v>541351.33333333302</v>
      </c>
      <c r="E3" s="691"/>
      <c r="F3" s="692">
        <f>120000</f>
        <v>120000</v>
      </c>
      <c r="G3" s="692"/>
      <c r="H3" s="691">
        <v>59548.646666666602</v>
      </c>
      <c r="I3" s="696">
        <f>SUM(D3:H3)</f>
        <v>720899.98</v>
      </c>
      <c r="J3" s="691">
        <v>8443.2708333333303</v>
      </c>
      <c r="K3" s="691">
        <v>107143.19834666701</v>
      </c>
      <c r="L3" s="691">
        <v>43308.106666666601</v>
      </c>
      <c r="M3" s="700">
        <f>SUM(J3:L3)</f>
        <v>158894.57584666699</v>
      </c>
      <c r="N3" s="691">
        <f>I3-M3</f>
        <v>562005.40415333305</v>
      </c>
      <c r="O3" s="696"/>
    </row>
    <row r="4" spans="1:15" s="1" customFormat="1" ht="41.1" customHeight="1">
      <c r="A4" s="724" t="s">
        <v>244</v>
      </c>
      <c r="B4" s="725" t="s">
        <v>865</v>
      </c>
      <c r="C4" s="689" t="s">
        <v>574</v>
      </c>
      <c r="D4" s="691">
        <v>542419.5</v>
      </c>
      <c r="E4" s="691"/>
      <c r="F4" s="692">
        <f>140000</f>
        <v>140000</v>
      </c>
      <c r="G4" s="692"/>
      <c r="H4" s="691">
        <v>59666.144999999997</v>
      </c>
      <c r="I4" s="696">
        <f>SUM(D4:H4)</f>
        <v>742085.64500000002</v>
      </c>
      <c r="J4" s="179">
        <f>338365.25*0.025</f>
        <v>8459.1312500000004</v>
      </c>
      <c r="K4" s="691">
        <v>112831.95402666699</v>
      </c>
      <c r="L4" s="691">
        <f>D4*0.08</f>
        <v>43393.56</v>
      </c>
      <c r="M4" s="700">
        <f>SUM(J4:L4)</f>
        <v>164684.645276667</v>
      </c>
      <c r="N4" s="691">
        <f>I4-M4</f>
        <v>577400.99972333305</v>
      </c>
      <c r="O4" s="696"/>
    </row>
    <row r="5" spans="1:15" ht="18" customHeight="1">
      <c r="A5" t="s">
        <v>866</v>
      </c>
      <c r="D5" s="372">
        <f t="shared" ref="D5:L5" si="0">D4-D3</f>
        <v>1068.1666666669801</v>
      </c>
      <c r="E5" s="372">
        <f t="shared" si="0"/>
        <v>0</v>
      </c>
      <c r="F5" s="372">
        <f t="shared" si="0"/>
        <v>20000</v>
      </c>
      <c r="G5" s="372">
        <f t="shared" si="0"/>
        <v>0</v>
      </c>
      <c r="H5" s="372">
        <f t="shared" si="0"/>
        <v>117.498333333395</v>
      </c>
      <c r="I5" s="372">
        <f t="shared" si="0"/>
        <v>21185.665000000401</v>
      </c>
      <c r="J5" s="372">
        <f t="shared" si="0"/>
        <v>15.860416666670099</v>
      </c>
      <c r="K5" s="372">
        <f t="shared" si="0"/>
        <v>5688.7556799999902</v>
      </c>
      <c r="L5" s="372">
        <f t="shared" si="0"/>
        <v>85.4533333333966</v>
      </c>
      <c r="M5" s="700">
        <f>SUM(J5:L5)</f>
        <v>5790.0694300000496</v>
      </c>
      <c r="N5" s="691">
        <f>I5-M5</f>
        <v>15395.5955700003</v>
      </c>
      <c r="O5" s="372">
        <f>I5*2</f>
        <v>42371.330000000802</v>
      </c>
    </row>
    <row r="6" spans="1:15">
      <c r="I6" s="372">
        <f>I5*2</f>
        <v>42371.330000000802</v>
      </c>
      <c r="K6" s="372">
        <f>K5*2</f>
        <v>11377.51136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867</v>
      </c>
      <c r="F1" s="184" t="s">
        <v>868</v>
      </c>
      <c r="G1" s="184" t="s">
        <v>869</v>
      </c>
      <c r="H1" s="184" t="s">
        <v>870</v>
      </c>
    </row>
    <row r="2" spans="1:8" s="1" customFormat="1" ht="17.25" customHeight="1">
      <c r="C2" s="6"/>
      <c r="D2" s="6"/>
      <c r="E2" s="67" t="s">
        <v>21</v>
      </c>
      <c r="F2" s="67" t="s">
        <v>21</v>
      </c>
      <c r="G2" s="67" t="s">
        <v>21</v>
      </c>
      <c r="H2" s="67" t="s">
        <v>21</v>
      </c>
    </row>
    <row r="4" spans="1:8" s="1" customFormat="1" ht="20.100000000000001" customHeight="1">
      <c r="A4" s="2">
        <v>1</v>
      </c>
      <c r="B4" s="9" t="s">
        <v>244</v>
      </c>
      <c r="C4" s="2" t="s">
        <v>629</v>
      </c>
      <c r="D4" s="8" t="s">
        <v>56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>
      <c r="A5" s="2">
        <v>2</v>
      </c>
      <c r="B5" s="9" t="s">
        <v>246</v>
      </c>
      <c r="C5" s="2" t="s">
        <v>629</v>
      </c>
      <c r="D5" s="8" t="s">
        <v>574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249</v>
      </c>
      <c r="C6" s="2" t="s">
        <v>250</v>
      </c>
      <c r="D6" s="13" t="s">
        <v>579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>
      <c r="A7" s="2">
        <v>4</v>
      </c>
      <c r="B7" s="16" t="s">
        <v>252</v>
      </c>
      <c r="C7" s="2" t="s">
        <v>250</v>
      </c>
      <c r="D7" s="8" t="s">
        <v>225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>
      <c r="A8" s="2">
        <v>5</v>
      </c>
      <c r="B8" s="16" t="s">
        <v>253</v>
      </c>
      <c r="C8" s="2" t="s">
        <v>250</v>
      </c>
      <c r="D8" s="13" t="s">
        <v>105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>
      <c r="B9" s="895" t="s">
        <v>120</v>
      </c>
      <c r="C9" s="895"/>
      <c r="D9" s="895"/>
      <c r="E9" s="895"/>
      <c r="F9" s="895"/>
      <c r="G9" s="895"/>
      <c r="H9" s="895">
        <f>SUM(H4:H8)</f>
        <v>65734.422544999994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A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871</v>
      </c>
      <c r="M1" s="636" t="s">
        <v>872</v>
      </c>
      <c r="N1" s="636" t="s">
        <v>15</v>
      </c>
      <c r="O1" s="890" t="s">
        <v>16</v>
      </c>
      <c r="P1" s="636" t="s">
        <v>17</v>
      </c>
      <c r="Q1" s="646" t="s">
        <v>18</v>
      </c>
      <c r="R1" s="647" t="s">
        <v>873</v>
      </c>
    </row>
    <row r="2" spans="1:18" s="1" customFormat="1" ht="17.25" customHeight="1">
      <c r="A2" s="718"/>
      <c r="B2" s="718"/>
      <c r="C2" s="688"/>
      <c r="D2" s="688"/>
      <c r="E2" s="885" t="s">
        <v>21</v>
      </c>
      <c r="F2" s="885" t="s">
        <v>21</v>
      </c>
      <c r="G2" s="885" t="s">
        <v>21</v>
      </c>
      <c r="H2" s="885" t="s">
        <v>21</v>
      </c>
      <c r="I2" s="885" t="s">
        <v>21</v>
      </c>
      <c r="J2" s="891" t="s">
        <v>21</v>
      </c>
      <c r="K2" s="885" t="s">
        <v>21</v>
      </c>
      <c r="L2" s="885" t="s">
        <v>21</v>
      </c>
      <c r="M2" s="885" t="s">
        <v>21</v>
      </c>
      <c r="N2" s="885" t="s">
        <v>21</v>
      </c>
      <c r="O2" s="885" t="s">
        <v>21</v>
      </c>
      <c r="P2" s="885" t="s">
        <v>21</v>
      </c>
      <c r="Q2" s="893" t="s">
        <v>21</v>
      </c>
      <c r="R2" s="891" t="s">
        <v>21</v>
      </c>
    </row>
    <row r="3" spans="1:18" s="718" customFormat="1" ht="39" customHeight="1">
      <c r="A3" s="689">
        <v>1</v>
      </c>
      <c r="B3" s="724" t="s">
        <v>138</v>
      </c>
      <c r="C3" s="725" t="s">
        <v>874</v>
      </c>
      <c r="D3" s="689" t="s">
        <v>577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>
      <c r="A4" s="689">
        <v>1</v>
      </c>
      <c r="B4" s="724" t="s">
        <v>138</v>
      </c>
      <c r="C4" s="725" t="s">
        <v>624</v>
      </c>
      <c r="D4" s="689" t="s">
        <v>36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>
      <c r="A5" s="229"/>
      <c r="B5" s="236" t="s">
        <v>875</v>
      </c>
      <c r="C5" s="236"/>
      <c r="D5" s="236"/>
      <c r="E5" s="236"/>
      <c r="F5" s="236"/>
      <c r="G5" s="236"/>
      <c r="H5" s="236"/>
      <c r="I5" s="236"/>
      <c r="J5" s="892">
        <f>J3-J4</f>
        <v>662305.25</v>
      </c>
      <c r="K5" s="892"/>
      <c r="L5" s="892"/>
      <c r="M5" s="892"/>
      <c r="N5" s="892"/>
      <c r="O5" s="892">
        <f>O3-O4</f>
        <v>110837.11136</v>
      </c>
      <c r="P5" s="892">
        <f>P3-P4</f>
        <v>59384.42</v>
      </c>
      <c r="Q5" s="892">
        <f>Q3-Q4</f>
        <v>170221.53135999999</v>
      </c>
      <c r="R5" s="892">
        <f>R3-R4</f>
        <v>492083.71863999998</v>
      </c>
    </row>
    <row r="6" spans="1:18" ht="18" customHeight="1">
      <c r="A6" s="229"/>
      <c r="B6" s="236" t="s">
        <v>876</v>
      </c>
      <c r="C6" s="236"/>
      <c r="D6" s="236"/>
      <c r="E6" s="236"/>
      <c r="F6" s="236"/>
      <c r="G6" s="236"/>
      <c r="H6" s="236"/>
      <c r="I6" s="236"/>
      <c r="J6" s="892">
        <f>J5*3.65</f>
        <v>2417414.1625000001</v>
      </c>
      <c r="K6" s="236"/>
      <c r="L6" s="236"/>
      <c r="M6" s="236"/>
      <c r="N6" s="236"/>
      <c r="O6" s="892">
        <f>O5*3.65</f>
        <v>404555.45646399999</v>
      </c>
      <c r="P6" s="236"/>
      <c r="Q6" s="892">
        <f>O6</f>
        <v>404555.45646399999</v>
      </c>
      <c r="R6" s="892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877</v>
      </c>
      <c r="B9" s="886" t="s">
        <v>878</v>
      </c>
      <c r="C9" s="887" t="s">
        <v>320</v>
      </c>
      <c r="D9" s="689" t="s">
        <v>179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879</v>
      </c>
      <c r="B10" s="886" t="s">
        <v>878</v>
      </c>
      <c r="C10" s="887" t="s">
        <v>320</v>
      </c>
      <c r="D10" s="728" t="s">
        <v>179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>
      <c r="B11" s="886" t="s">
        <v>880</v>
      </c>
      <c r="C11" s="345"/>
      <c r="D11" s="345"/>
      <c r="E11" s="888">
        <f>E10-E9</f>
        <v>87646.5</v>
      </c>
      <c r="F11" s="888"/>
      <c r="G11" s="888"/>
      <c r="H11" s="888"/>
      <c r="I11" s="888"/>
      <c r="J11" s="888">
        <f>J10-J9</f>
        <v>87646.5</v>
      </c>
      <c r="K11" s="888"/>
      <c r="L11" s="888"/>
      <c r="M11" s="888"/>
      <c r="N11" s="888"/>
      <c r="O11" s="888">
        <f>O10-O9</f>
        <v>16044.4124266667</v>
      </c>
      <c r="P11" s="888"/>
      <c r="Q11" s="888">
        <f>Q10-Q9</f>
        <v>23056.1324266667</v>
      </c>
      <c r="R11" s="894">
        <f>R10-R9</f>
        <v>64590.3675733333</v>
      </c>
    </row>
    <row r="12" spans="1:18" ht="29.1" customHeight="1">
      <c r="B12" s="886" t="s">
        <v>881</v>
      </c>
      <c r="C12" s="345"/>
      <c r="D12" s="345"/>
      <c r="E12" s="888">
        <f>J12</f>
        <v>350586</v>
      </c>
      <c r="F12" s="888"/>
      <c r="G12" s="888"/>
      <c r="H12" s="888"/>
      <c r="I12" s="888"/>
      <c r="J12" s="888">
        <f>J11*4</f>
        <v>350586</v>
      </c>
      <c r="K12" s="888"/>
      <c r="L12" s="888"/>
      <c r="M12" s="888"/>
      <c r="N12" s="888"/>
      <c r="O12" s="888">
        <f>O11*4</f>
        <v>64177.649706666802</v>
      </c>
      <c r="P12" s="888"/>
      <c r="Q12" s="888">
        <f>O12</f>
        <v>64177.649706666802</v>
      </c>
      <c r="R12" s="894">
        <f>J12-Q12</f>
        <v>286408.350293333</v>
      </c>
    </row>
    <row r="13" spans="1:18" ht="17.100000000000001" customHeight="1">
      <c r="R13" s="372">
        <f>R10+R12</f>
        <v>684161.63786666701</v>
      </c>
    </row>
    <row r="15" spans="1:18" s="718" customFormat="1" ht="27.95" customHeight="1">
      <c r="A15" s="889" t="s">
        <v>879</v>
      </c>
      <c r="B15" s="726" t="s">
        <v>271</v>
      </c>
      <c r="C15" s="725" t="s">
        <v>272</v>
      </c>
      <c r="D15" s="689" t="s">
        <v>225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>
      <c r="A16" s="689" t="s">
        <v>877</v>
      </c>
      <c r="B16" s="726" t="s">
        <v>271</v>
      </c>
      <c r="C16" s="725" t="s">
        <v>272</v>
      </c>
      <c r="D16" s="689" t="s">
        <v>225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>
      <c r="B18" t="s">
        <v>882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>
      <c r="R19" s="372">
        <f>R15+R18</f>
        <v>642722.62095999694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zoomScale="90" zoomScaleNormal="90" zoomScaleSheetLayoutView="50" workbookViewId="0">
      <pane xSplit="3" ySplit="7" topLeftCell="D166" activePane="bottomRight" state="frozen"/>
      <selection pane="topRight"/>
      <selection pane="bottomLeft"/>
      <selection pane="bottomRight" activeCell="G168" sqref="G1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3.5703125" style="1"/>
    <col min="7" max="16384" width="9.140625" style="1"/>
  </cols>
  <sheetData>
    <row r="1" spans="1:5" ht="27" customHeight="1">
      <c r="A1" s="1124" t="s">
        <v>0</v>
      </c>
      <c r="B1" s="1124"/>
      <c r="C1" s="1124"/>
      <c r="D1" s="1124"/>
      <c r="E1" s="1124"/>
    </row>
    <row r="2" spans="1:5" ht="33.75" customHeight="1">
      <c r="A2" s="61" t="s">
        <v>883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</row>
    <row r="5" spans="1:5" ht="17.25" customHeight="1">
      <c r="C5" s="6"/>
      <c r="D5" s="6"/>
      <c r="E5" s="67" t="s">
        <v>21</v>
      </c>
    </row>
    <row r="6" spans="1:5" ht="20.100000000000001" customHeight="1">
      <c r="A6" s="7" t="s">
        <v>22</v>
      </c>
      <c r="B6" s="6" t="s">
        <v>23</v>
      </c>
      <c r="C6" s="6"/>
      <c r="D6" s="6"/>
      <c r="E6" s="67"/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1971137.08333333</v>
      </c>
    </row>
    <row r="8" spans="1:5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905306.75</v>
      </c>
    </row>
    <row r="9" spans="1:5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905306.75</v>
      </c>
    </row>
    <row r="10" spans="1:5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905306.75</v>
      </c>
    </row>
    <row r="11" spans="1:5" ht="20.100000000000001" customHeight="1">
      <c r="A11" s="8">
        <v>5</v>
      </c>
      <c r="B11" s="9" t="s">
        <v>34</v>
      </c>
      <c r="C11" s="10" t="s">
        <v>35</v>
      </c>
      <c r="D11" s="13" t="s">
        <v>209</v>
      </c>
      <c r="E11" s="70">
        <v>879008.91666666698</v>
      </c>
    </row>
    <row r="12" spans="1:5" ht="20.100000000000001" customHeight="1">
      <c r="A12" s="8">
        <v>6</v>
      </c>
      <c r="B12" s="9" t="s">
        <v>37</v>
      </c>
      <c r="C12" s="2" t="s">
        <v>38</v>
      </c>
      <c r="D12" s="8" t="s">
        <v>50</v>
      </c>
      <c r="E12" s="70">
        <v>722595.5</v>
      </c>
    </row>
    <row r="13" spans="1:5" ht="20.100000000000001" customHeight="1">
      <c r="A13" s="8">
        <v>7</v>
      </c>
      <c r="B13" s="9" t="s">
        <v>40</v>
      </c>
      <c r="C13" s="2" t="s">
        <v>619</v>
      </c>
      <c r="D13" s="13" t="s">
        <v>191</v>
      </c>
      <c r="E13" s="70">
        <v>589657</v>
      </c>
    </row>
    <row r="14" spans="1:5" ht="20.100000000000001" customHeight="1">
      <c r="A14" s="8">
        <v>8</v>
      </c>
      <c r="B14" s="12" t="s">
        <v>43</v>
      </c>
      <c r="C14" s="15" t="s">
        <v>44</v>
      </c>
      <c r="D14" s="13" t="s">
        <v>50</v>
      </c>
      <c r="E14" s="70">
        <v>722595.5</v>
      </c>
    </row>
    <row r="15" spans="1:5" ht="20.100000000000001" customHeight="1">
      <c r="A15" s="8">
        <v>9</v>
      </c>
      <c r="B15" s="9" t="s">
        <v>45</v>
      </c>
      <c r="C15" s="2" t="s">
        <v>46</v>
      </c>
      <c r="D15" s="8" t="s">
        <v>214</v>
      </c>
      <c r="E15" s="70">
        <v>558165.25</v>
      </c>
    </row>
    <row r="16" spans="1:5" ht="20.100000000000001" customHeight="1">
      <c r="A16" s="8">
        <v>10</v>
      </c>
      <c r="B16" s="9" t="s">
        <v>48</v>
      </c>
      <c r="C16" s="2" t="s">
        <v>49</v>
      </c>
      <c r="D16" s="8" t="s">
        <v>42</v>
      </c>
      <c r="E16" s="70">
        <v>700713.91666666605</v>
      </c>
    </row>
    <row r="17" spans="1:5" ht="20.100000000000001" customHeight="1">
      <c r="A17" s="8">
        <v>11</v>
      </c>
      <c r="B17" s="9" t="s">
        <v>51</v>
      </c>
      <c r="C17" s="10" t="s">
        <v>61</v>
      </c>
      <c r="D17" s="13" t="s">
        <v>56</v>
      </c>
      <c r="E17" s="70">
        <v>541351.33333333302</v>
      </c>
    </row>
    <row r="18" spans="1:5" ht="20.100000000000001" customHeight="1">
      <c r="A18" s="8">
        <v>12</v>
      </c>
      <c r="B18" s="16" t="s">
        <v>54</v>
      </c>
      <c r="C18" s="2" t="s">
        <v>55</v>
      </c>
      <c r="D18" s="13" t="s">
        <v>575</v>
      </c>
      <c r="E18" s="70">
        <v>526725.08333333395</v>
      </c>
    </row>
    <row r="19" spans="1:5" ht="20.100000000000001" customHeight="1">
      <c r="A19" s="8">
        <v>13</v>
      </c>
      <c r="B19" s="16" t="s">
        <v>57</v>
      </c>
      <c r="C19" s="2" t="s">
        <v>58</v>
      </c>
      <c r="D19" s="13" t="s">
        <v>576</v>
      </c>
      <c r="E19" s="630">
        <v>497472.75</v>
      </c>
    </row>
    <row r="20" spans="1:5" ht="20.100000000000001" customHeight="1">
      <c r="A20" s="8">
        <v>14</v>
      </c>
      <c r="B20" s="16" t="s">
        <v>60</v>
      </c>
      <c r="C20" s="2" t="s">
        <v>61</v>
      </c>
      <c r="D20" s="13" t="s">
        <v>576</v>
      </c>
      <c r="E20" s="630">
        <v>497472.75</v>
      </c>
    </row>
    <row r="21" spans="1:5" ht="20.100000000000001" customHeight="1">
      <c r="A21" s="8">
        <v>15</v>
      </c>
      <c r="B21" s="9" t="s">
        <v>62</v>
      </c>
      <c r="C21" s="10" t="s">
        <v>621</v>
      </c>
      <c r="D21" s="13" t="s">
        <v>261</v>
      </c>
      <c r="E21" s="70">
        <v>496497.16666666698</v>
      </c>
    </row>
    <row r="22" spans="1:5" ht="18.75" customHeight="1">
      <c r="A22" s="8">
        <v>16</v>
      </c>
      <c r="B22" s="9" t="s">
        <v>65</v>
      </c>
      <c r="C22" s="10" t="s">
        <v>177</v>
      </c>
      <c r="D22" s="13" t="s">
        <v>172</v>
      </c>
      <c r="E22" s="70">
        <v>482662.66666666698</v>
      </c>
    </row>
    <row r="23" spans="1:5" ht="20.100000000000001" customHeight="1">
      <c r="A23" s="8">
        <v>17</v>
      </c>
      <c r="B23" s="12" t="s">
        <v>68</v>
      </c>
      <c r="C23" s="15" t="s">
        <v>69</v>
      </c>
      <c r="D23" s="8" t="s">
        <v>131</v>
      </c>
      <c r="E23" s="70">
        <v>454993.58333333302</v>
      </c>
    </row>
    <row r="24" spans="1:5" ht="21.6" customHeight="1">
      <c r="A24" s="8">
        <v>18</v>
      </c>
      <c r="B24" s="9" t="s">
        <v>71</v>
      </c>
      <c r="C24" s="15" t="s">
        <v>72</v>
      </c>
      <c r="D24" s="13" t="s">
        <v>131</v>
      </c>
      <c r="E24" s="70">
        <v>454993.58333333302</v>
      </c>
    </row>
    <row r="25" spans="1:5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70">
        <v>381140.66666666599</v>
      </c>
    </row>
    <row r="26" spans="1:5" ht="20.100000000000001" customHeight="1">
      <c r="A26" s="8">
        <v>20</v>
      </c>
      <c r="B26" s="12" t="s">
        <v>76</v>
      </c>
      <c r="C26" s="15" t="s">
        <v>77</v>
      </c>
      <c r="D26" s="8" t="s">
        <v>75</v>
      </c>
      <c r="E26" s="70">
        <v>381140.66666666599</v>
      </c>
    </row>
    <row r="27" spans="1:5" ht="18.75" customHeight="1">
      <c r="A27" s="8">
        <v>21</v>
      </c>
      <c r="B27" s="2" t="s">
        <v>483</v>
      </c>
      <c r="C27" s="2" t="s">
        <v>94</v>
      </c>
      <c r="D27" s="8" t="s">
        <v>154</v>
      </c>
      <c r="E27" s="70">
        <v>355320.66666666698</v>
      </c>
    </row>
    <row r="28" spans="1:5" ht="18.75" customHeight="1">
      <c r="A28" s="8">
        <v>22</v>
      </c>
      <c r="B28" s="16" t="s">
        <v>79</v>
      </c>
      <c r="C28" s="10" t="s">
        <v>94</v>
      </c>
      <c r="D28" s="13" t="s">
        <v>154</v>
      </c>
      <c r="E28" s="70">
        <v>355320.66666666698</v>
      </c>
    </row>
    <row r="29" spans="1:5" ht="20.100000000000001" customHeight="1">
      <c r="A29" s="8">
        <v>23</v>
      </c>
      <c r="B29" s="9" t="s">
        <v>82</v>
      </c>
      <c r="C29" s="15" t="s">
        <v>69</v>
      </c>
      <c r="D29" s="8" t="s">
        <v>154</v>
      </c>
      <c r="E29" s="70">
        <v>355320.66666666698</v>
      </c>
    </row>
    <row r="30" spans="1:5" ht="18.75" customHeight="1">
      <c r="A30" s="8">
        <v>24</v>
      </c>
      <c r="B30" s="16" t="s">
        <v>84</v>
      </c>
      <c r="C30" s="10" t="s">
        <v>85</v>
      </c>
      <c r="D30" s="13" t="s">
        <v>86</v>
      </c>
      <c r="E30" s="70">
        <v>347016.16666666599</v>
      </c>
    </row>
    <row r="31" spans="1:5" ht="18.75" customHeight="1">
      <c r="A31" s="8">
        <v>25</v>
      </c>
      <c r="B31" s="16" t="s">
        <v>87</v>
      </c>
      <c r="C31" s="2" t="s">
        <v>88</v>
      </c>
      <c r="D31" s="8" t="s">
        <v>99</v>
      </c>
      <c r="E31" s="70">
        <v>338711.66666666698</v>
      </c>
    </row>
    <row r="32" spans="1:5" ht="18.75" customHeight="1">
      <c r="A32" s="8">
        <v>26</v>
      </c>
      <c r="B32" s="16" t="s">
        <v>89</v>
      </c>
      <c r="C32" s="2" t="s">
        <v>88</v>
      </c>
      <c r="D32" s="8" t="s">
        <v>99</v>
      </c>
      <c r="E32" s="70">
        <v>338711.66666666698</v>
      </c>
    </row>
    <row r="33" spans="1:5" ht="18.75" customHeight="1">
      <c r="A33" s="8">
        <v>27</v>
      </c>
      <c r="B33" s="16" t="s">
        <v>91</v>
      </c>
      <c r="C33" s="15" t="s">
        <v>622</v>
      </c>
      <c r="D33" s="13" t="s">
        <v>154</v>
      </c>
      <c r="E33" s="70">
        <v>355320.66666666698</v>
      </c>
    </row>
    <row r="34" spans="1:5" ht="18.75" customHeight="1">
      <c r="A34" s="8">
        <v>28</v>
      </c>
      <c r="B34" s="16" t="s">
        <v>93</v>
      </c>
      <c r="C34" s="2" t="s">
        <v>94</v>
      </c>
      <c r="D34" s="8" t="s">
        <v>99</v>
      </c>
      <c r="E34" s="70">
        <v>338711.66666666698</v>
      </c>
    </row>
    <row r="35" spans="1:5" ht="18.75" customHeight="1">
      <c r="A35" s="8">
        <v>29</v>
      </c>
      <c r="B35" s="16" t="s">
        <v>95</v>
      </c>
      <c r="C35" s="2" t="s">
        <v>623</v>
      </c>
      <c r="D35" s="8" t="s">
        <v>99</v>
      </c>
      <c r="E35" s="70">
        <v>338711.66666666698</v>
      </c>
    </row>
    <row r="36" spans="1:5" ht="18.75" customHeight="1">
      <c r="A36" s="8">
        <v>30</v>
      </c>
      <c r="B36" s="16" t="s">
        <v>97</v>
      </c>
      <c r="C36" s="2" t="s">
        <v>98</v>
      </c>
      <c r="D36" s="8" t="s">
        <v>225</v>
      </c>
      <c r="E36" s="70">
        <v>330407.08333333302</v>
      </c>
    </row>
    <row r="37" spans="1:5" ht="18.75" customHeight="1">
      <c r="A37" s="8">
        <v>31</v>
      </c>
      <c r="B37" s="16" t="s">
        <v>100</v>
      </c>
      <c r="C37" s="2" t="s">
        <v>98</v>
      </c>
      <c r="D37" s="8" t="s">
        <v>225</v>
      </c>
      <c r="E37" s="70">
        <v>330408.08333333302</v>
      </c>
    </row>
    <row r="38" spans="1:5" ht="18.75" customHeight="1">
      <c r="A38" s="8">
        <v>32</v>
      </c>
      <c r="B38" s="16" t="s">
        <v>101</v>
      </c>
      <c r="C38" s="2" t="s">
        <v>85</v>
      </c>
      <c r="D38" s="8" t="s">
        <v>225</v>
      </c>
      <c r="E38" s="70">
        <v>330409.08333333302</v>
      </c>
    </row>
    <row r="39" spans="1:5" ht="18.75" customHeight="1">
      <c r="A39" s="8">
        <v>33</v>
      </c>
      <c r="B39" s="16" t="s">
        <v>102</v>
      </c>
      <c r="C39" s="2" t="s">
        <v>94</v>
      </c>
      <c r="D39" s="8" t="s">
        <v>225</v>
      </c>
      <c r="E39" s="70">
        <v>330409.08333333302</v>
      </c>
    </row>
    <row r="40" spans="1:5" ht="18.75" customHeight="1">
      <c r="A40" s="8">
        <v>34</v>
      </c>
      <c r="B40" s="16" t="s">
        <v>103</v>
      </c>
      <c r="C40" s="10" t="s">
        <v>104</v>
      </c>
      <c r="D40" s="13" t="s">
        <v>108</v>
      </c>
      <c r="E40" s="70">
        <v>301910.75</v>
      </c>
    </row>
    <row r="41" spans="1:5" ht="18.75" customHeight="1">
      <c r="A41" s="8">
        <v>35</v>
      </c>
      <c r="B41" s="16" t="s">
        <v>106</v>
      </c>
      <c r="C41" s="10" t="s">
        <v>107</v>
      </c>
      <c r="D41" s="13" t="s">
        <v>111</v>
      </c>
      <c r="E41" s="630">
        <v>294900.83333333401</v>
      </c>
    </row>
    <row r="42" spans="1:5" ht="20.100000000000001" customHeight="1">
      <c r="A42" s="8">
        <v>36</v>
      </c>
      <c r="B42" s="16" t="s">
        <v>109</v>
      </c>
      <c r="C42" s="10" t="s">
        <v>110</v>
      </c>
      <c r="D42" s="13" t="s">
        <v>277</v>
      </c>
      <c r="E42" s="70">
        <v>287890.91666666698</v>
      </c>
    </row>
    <row r="43" spans="1:5" ht="20.100000000000001" customHeight="1">
      <c r="A43" s="8">
        <v>37</v>
      </c>
      <c r="B43" s="16" t="s">
        <v>118</v>
      </c>
      <c r="C43" s="10" t="s">
        <v>119</v>
      </c>
      <c r="D43" s="13" t="s">
        <v>277</v>
      </c>
      <c r="E43" s="70">
        <v>287891.91666666698</v>
      </c>
    </row>
    <row r="44" spans="1:5" ht="26.25" customHeight="1">
      <c r="A44" s="8"/>
      <c r="B44" s="18" t="s">
        <v>120</v>
      </c>
      <c r="C44" s="19">
        <v>37</v>
      </c>
      <c r="D44" s="13"/>
      <c r="E44" s="187">
        <f>SUM(E7:E43)</f>
        <v>19191616.916666701</v>
      </c>
    </row>
    <row r="45" spans="1:5" ht="18.75" customHeight="1">
      <c r="A45" s="8"/>
      <c r="B45" s="20"/>
      <c r="C45" s="2"/>
      <c r="D45" s="13"/>
      <c r="E45" s="187"/>
    </row>
    <row r="46" spans="1:5" ht="18.75" customHeight="1">
      <c r="A46" s="8"/>
      <c r="B46" s="18" t="s">
        <v>121</v>
      </c>
      <c r="C46" s="2"/>
      <c r="D46" s="13"/>
      <c r="E46" s="70"/>
    </row>
    <row r="47" spans="1:5" ht="18.75" customHeight="1">
      <c r="A47" s="8">
        <v>1</v>
      </c>
      <c r="B47" s="16" t="s">
        <v>122</v>
      </c>
      <c r="C47" s="2" t="s">
        <v>123</v>
      </c>
      <c r="D47" s="8" t="s">
        <v>124</v>
      </c>
      <c r="E47" s="70">
        <v>1747106.41666666</v>
      </c>
    </row>
    <row r="48" spans="1:5" ht="18.75" customHeight="1">
      <c r="A48" s="8">
        <v>2</v>
      </c>
      <c r="B48" s="16" t="s">
        <v>127</v>
      </c>
      <c r="C48" s="2" t="s">
        <v>128</v>
      </c>
      <c r="D48" s="8" t="s">
        <v>75</v>
      </c>
      <c r="E48" s="70">
        <v>381140.66666666599</v>
      </c>
    </row>
    <row r="49" spans="1:5" ht="18.75" customHeight="1">
      <c r="A49" s="8">
        <v>3</v>
      </c>
      <c r="B49" s="9" t="s">
        <v>129</v>
      </c>
      <c r="C49" s="2" t="s">
        <v>128</v>
      </c>
      <c r="D49" s="13" t="s">
        <v>78</v>
      </c>
      <c r="E49" s="70">
        <v>390135.83333333401</v>
      </c>
    </row>
    <row r="50" spans="1:5" ht="20.100000000000001" customHeight="1">
      <c r="A50" s="8">
        <v>4</v>
      </c>
      <c r="B50" s="16" t="s">
        <v>132</v>
      </c>
      <c r="C50" s="2" t="s">
        <v>128</v>
      </c>
      <c r="D50" s="13" t="s">
        <v>81</v>
      </c>
      <c r="E50" s="70">
        <v>372145.33333333302</v>
      </c>
    </row>
    <row r="51" spans="1:5" ht="18.75" customHeight="1">
      <c r="A51" s="8">
        <v>5</v>
      </c>
      <c r="B51" s="9" t="s">
        <v>133</v>
      </c>
      <c r="C51" s="2" t="s">
        <v>134</v>
      </c>
      <c r="D51" s="13" t="s">
        <v>99</v>
      </c>
      <c r="E51" s="630">
        <v>338711.66666666698</v>
      </c>
    </row>
    <row r="52" spans="1:5" ht="20.100000000000001" customHeight="1">
      <c r="A52" s="8">
        <v>6</v>
      </c>
      <c r="B52" s="16" t="s">
        <v>135</v>
      </c>
      <c r="C52" s="10" t="s">
        <v>136</v>
      </c>
      <c r="D52" s="13" t="s">
        <v>277</v>
      </c>
      <c r="E52" s="70">
        <v>287890.91666666698</v>
      </c>
    </row>
    <row r="53" spans="1:5" ht="19.5" customHeight="1">
      <c r="A53" s="8"/>
      <c r="B53" s="12"/>
      <c r="C53" s="19">
        <v>6</v>
      </c>
      <c r="D53" s="8"/>
      <c r="E53" s="187">
        <f>SUM(E47:E52)</f>
        <v>3517130.8333333302</v>
      </c>
    </row>
    <row r="54" spans="1:5" ht="20.100000000000001" customHeight="1">
      <c r="A54" s="8"/>
      <c r="B54" s="12"/>
      <c r="C54" s="2"/>
      <c r="D54" s="8"/>
      <c r="E54" s="187"/>
    </row>
    <row r="55" spans="1:5" ht="20.100000000000001" customHeight="1">
      <c r="A55" s="8"/>
      <c r="B55" s="21" t="s">
        <v>137</v>
      </c>
      <c r="C55" s="3"/>
      <c r="D55" s="22"/>
      <c r="E55" s="187"/>
    </row>
    <row r="56" spans="1:5" ht="20.100000000000001" customHeight="1">
      <c r="A56" s="8">
        <v>1</v>
      </c>
      <c r="B56" s="9" t="s">
        <v>138</v>
      </c>
      <c r="C56" s="2" t="s">
        <v>624</v>
      </c>
      <c r="D56" s="8" t="s">
        <v>577</v>
      </c>
      <c r="E56" s="70">
        <v>1647612</v>
      </c>
    </row>
    <row r="57" spans="1:5" ht="20.100000000000001" customHeight="1">
      <c r="A57" s="8">
        <v>2</v>
      </c>
      <c r="B57" s="9" t="s">
        <v>141</v>
      </c>
      <c r="C57" s="2" t="s">
        <v>142</v>
      </c>
      <c r="D57" s="8" t="s">
        <v>39</v>
      </c>
      <c r="E57" s="70">
        <v>744477</v>
      </c>
    </row>
    <row r="58" spans="1:5" ht="20.100000000000001" customHeight="1">
      <c r="A58" s="8">
        <v>3</v>
      </c>
      <c r="B58" s="9" t="s">
        <v>143</v>
      </c>
      <c r="C58" s="2" t="s">
        <v>142</v>
      </c>
      <c r="D58" s="8" t="s">
        <v>39</v>
      </c>
      <c r="E58" s="70">
        <v>744477</v>
      </c>
    </row>
    <row r="59" spans="1:5" ht="20.100000000000001" customHeight="1">
      <c r="A59" s="8">
        <v>4</v>
      </c>
      <c r="B59" s="9" t="s">
        <v>144</v>
      </c>
      <c r="C59" s="2" t="s">
        <v>142</v>
      </c>
      <c r="D59" s="8" t="s">
        <v>50</v>
      </c>
      <c r="E59" s="70">
        <v>722595.5</v>
      </c>
    </row>
    <row r="60" spans="1:5" ht="20.100000000000001" customHeight="1">
      <c r="A60" s="8">
        <v>5</v>
      </c>
      <c r="B60" s="12" t="s">
        <v>145</v>
      </c>
      <c r="C60" s="2" t="s">
        <v>142</v>
      </c>
      <c r="D60" s="8" t="s">
        <v>42</v>
      </c>
      <c r="E60" s="70">
        <v>700713.91666666605</v>
      </c>
    </row>
    <row r="61" spans="1:5" ht="20.100000000000001" customHeight="1">
      <c r="A61" s="8">
        <v>6</v>
      </c>
      <c r="B61" s="16" t="s">
        <v>147</v>
      </c>
      <c r="C61" s="2" t="s">
        <v>148</v>
      </c>
      <c r="D61" s="13" t="s">
        <v>179</v>
      </c>
      <c r="E61" s="186">
        <v>441159</v>
      </c>
    </row>
    <row r="62" spans="1:5" ht="20.100000000000001" customHeight="1">
      <c r="A62" s="8">
        <v>7</v>
      </c>
      <c r="B62" s="9" t="s">
        <v>149</v>
      </c>
      <c r="C62" s="2" t="s">
        <v>150</v>
      </c>
      <c r="D62" s="8" t="s">
        <v>78</v>
      </c>
      <c r="E62" s="70">
        <v>390135.83333333401</v>
      </c>
    </row>
    <row r="63" spans="1:5" ht="20.100000000000001" customHeight="1">
      <c r="A63" s="8">
        <v>8</v>
      </c>
      <c r="B63" s="9" t="s">
        <v>152</v>
      </c>
      <c r="C63" s="2" t="s">
        <v>83</v>
      </c>
      <c r="D63" s="8" t="s">
        <v>81</v>
      </c>
      <c r="E63" s="70">
        <v>372145.33333333302</v>
      </c>
    </row>
    <row r="64" spans="1:5" ht="20.100000000000001" customHeight="1">
      <c r="A64" s="8">
        <v>9</v>
      </c>
      <c r="B64" s="9" t="s">
        <v>153</v>
      </c>
      <c r="C64" s="2" t="s">
        <v>150</v>
      </c>
      <c r="D64" s="8" t="s">
        <v>86</v>
      </c>
      <c r="E64" s="70">
        <v>347016.16666666599</v>
      </c>
    </row>
    <row r="65" spans="1:5" ht="20.100000000000001" customHeight="1">
      <c r="A65" s="8">
        <v>10</v>
      </c>
      <c r="B65" s="9" t="s">
        <v>155</v>
      </c>
      <c r="C65" s="2" t="s">
        <v>150</v>
      </c>
      <c r="D65" s="8" t="s">
        <v>86</v>
      </c>
      <c r="E65" s="70">
        <v>347016.16666666599</v>
      </c>
    </row>
    <row r="66" spans="1:5" ht="18.75" customHeight="1">
      <c r="A66" s="8">
        <v>11</v>
      </c>
      <c r="B66" s="16" t="s">
        <v>156</v>
      </c>
      <c r="C66" s="2" t="s">
        <v>150</v>
      </c>
      <c r="D66" s="8" t="s">
        <v>225</v>
      </c>
      <c r="E66" s="70">
        <v>330407.08333333302</v>
      </c>
    </row>
    <row r="67" spans="1:5" ht="25.5" customHeight="1">
      <c r="A67" s="8"/>
      <c r="B67" s="18" t="s">
        <v>120</v>
      </c>
      <c r="C67" s="19">
        <v>11</v>
      </c>
      <c r="D67" s="19"/>
      <c r="E67" s="78">
        <f>SUM(E56:E66)</f>
        <v>6787755</v>
      </c>
    </row>
    <row r="68" spans="1:5" ht="20.100000000000001" customHeight="1">
      <c r="A68" s="8"/>
      <c r="B68" s="20"/>
      <c r="C68" s="19"/>
      <c r="D68" s="19"/>
      <c r="E68" s="122"/>
    </row>
    <row r="69" spans="1:5" ht="20.100000000000001" customHeight="1">
      <c r="A69" s="8"/>
      <c r="B69" s="18" t="s">
        <v>157</v>
      </c>
      <c r="C69" s="19"/>
      <c r="D69" s="19"/>
      <c r="E69" s="122"/>
    </row>
    <row r="70" spans="1:5" ht="20.100000000000001" customHeight="1">
      <c r="A70" s="8">
        <v>1</v>
      </c>
      <c r="B70" s="9" t="s">
        <v>158</v>
      </c>
      <c r="C70" s="10" t="s">
        <v>159</v>
      </c>
      <c r="D70" s="13" t="s">
        <v>124</v>
      </c>
      <c r="E70" s="70">
        <v>1747106.41666666</v>
      </c>
    </row>
    <row r="71" spans="1:5" ht="20.100000000000001" customHeight="1">
      <c r="A71" s="8">
        <v>2</v>
      </c>
      <c r="B71" s="9" t="s">
        <v>160</v>
      </c>
      <c r="C71" s="10" t="s">
        <v>161</v>
      </c>
      <c r="D71" s="13" t="s">
        <v>162</v>
      </c>
      <c r="E71" s="70">
        <v>744477</v>
      </c>
    </row>
    <row r="72" spans="1:5" ht="20.100000000000001" customHeight="1">
      <c r="A72" s="8"/>
      <c r="B72" s="18" t="s">
        <v>120</v>
      </c>
      <c r="C72" s="19">
        <v>2</v>
      </c>
      <c r="D72" s="19"/>
      <c r="E72" s="78">
        <f>SUM(E70:E71)</f>
        <v>2491583.41666666</v>
      </c>
    </row>
    <row r="73" spans="1:5" ht="20.100000000000001" customHeight="1">
      <c r="A73" s="8"/>
      <c r="B73" s="18"/>
      <c r="C73" s="19"/>
      <c r="D73" s="19"/>
      <c r="E73" s="122"/>
    </row>
    <row r="74" spans="1:5" ht="20.100000000000001" customHeight="1">
      <c r="A74" s="8"/>
      <c r="B74" s="18" t="s">
        <v>163</v>
      </c>
      <c r="C74" s="19"/>
      <c r="D74" s="19"/>
      <c r="E74" s="122"/>
    </row>
    <row r="75" spans="1:5" ht="20.100000000000001" customHeight="1">
      <c r="A75" s="8">
        <v>1</v>
      </c>
      <c r="B75" s="12" t="s">
        <v>164</v>
      </c>
      <c r="C75" s="2" t="s">
        <v>165</v>
      </c>
      <c r="D75" s="8" t="s">
        <v>36</v>
      </c>
      <c r="E75" s="70">
        <v>905306.75</v>
      </c>
    </row>
    <row r="76" spans="1:5" ht="20.100000000000001" customHeight="1">
      <c r="A76" s="8">
        <v>2</v>
      </c>
      <c r="B76" s="9" t="s">
        <v>166</v>
      </c>
      <c r="C76" s="2" t="s">
        <v>52</v>
      </c>
      <c r="D76" s="8" t="s">
        <v>214</v>
      </c>
      <c r="E76" s="70">
        <v>558165.25</v>
      </c>
    </row>
    <row r="77" spans="1:5" ht="20.100000000000001" customHeight="1">
      <c r="A77" s="8">
        <v>3</v>
      </c>
      <c r="B77" s="16" t="s">
        <v>167</v>
      </c>
      <c r="C77" s="15" t="s">
        <v>217</v>
      </c>
      <c r="D77" s="13" t="s">
        <v>67</v>
      </c>
      <c r="E77" s="70">
        <v>482846.58333333302</v>
      </c>
    </row>
    <row r="78" spans="1:5" ht="20.100000000000001" customHeight="1">
      <c r="A78" s="8">
        <v>4</v>
      </c>
      <c r="B78" s="16" t="s">
        <v>169</v>
      </c>
      <c r="C78" s="15" t="s">
        <v>217</v>
      </c>
      <c r="D78" s="13" t="s">
        <v>67</v>
      </c>
      <c r="E78" s="70">
        <v>482846.58333333302</v>
      </c>
    </row>
    <row r="79" spans="1:5" ht="20.100000000000001" customHeight="1">
      <c r="A79" s="8">
        <v>5</v>
      </c>
      <c r="B79" s="9" t="s">
        <v>170</v>
      </c>
      <c r="C79" s="2" t="s">
        <v>150</v>
      </c>
      <c r="D79" s="8" t="s">
        <v>70</v>
      </c>
      <c r="E79" s="70">
        <v>468828.16666666698</v>
      </c>
    </row>
    <row r="80" spans="1:5" ht="20.100000000000001" customHeight="1">
      <c r="A80" s="8">
        <v>6</v>
      </c>
      <c r="B80" s="9" t="s">
        <v>171</v>
      </c>
      <c r="C80" s="15" t="s">
        <v>72</v>
      </c>
      <c r="D80" s="8" t="s">
        <v>70</v>
      </c>
      <c r="E80" s="70">
        <v>468828.16666666698</v>
      </c>
    </row>
    <row r="81" spans="1:5" ht="20.100000000000001" customHeight="1">
      <c r="A81" s="8">
        <v>7</v>
      </c>
      <c r="B81" s="9" t="s">
        <v>173</v>
      </c>
      <c r="C81" s="15" t="s">
        <v>72</v>
      </c>
      <c r="D81" s="8" t="s">
        <v>70</v>
      </c>
      <c r="E81" s="70">
        <v>468828.16666666698</v>
      </c>
    </row>
    <row r="82" spans="1:5" ht="20.100000000000001" customHeight="1">
      <c r="A82" s="8">
        <v>8</v>
      </c>
      <c r="B82" s="9" t="s">
        <v>174</v>
      </c>
      <c r="C82" s="2" t="s">
        <v>625</v>
      </c>
      <c r="D82" s="8" t="s">
        <v>172</v>
      </c>
      <c r="E82" s="417">
        <v>482662.66666666698</v>
      </c>
    </row>
    <row r="83" spans="1:5" ht="20.100000000000001" customHeight="1">
      <c r="A83" s="8">
        <v>9</v>
      </c>
      <c r="B83" s="12" t="s">
        <v>176</v>
      </c>
      <c r="C83" s="15" t="s">
        <v>177</v>
      </c>
      <c r="D83" s="8" t="s">
        <v>179</v>
      </c>
      <c r="E83" s="70">
        <v>441159</v>
      </c>
    </row>
    <row r="84" spans="1:5" ht="21.6" customHeight="1">
      <c r="A84" s="8">
        <v>10</v>
      </c>
      <c r="B84" s="9" t="s">
        <v>178</v>
      </c>
      <c r="C84" s="2" t="s">
        <v>150</v>
      </c>
      <c r="D84" s="8" t="s">
        <v>78</v>
      </c>
      <c r="E84" s="186">
        <v>390135.83333333401</v>
      </c>
    </row>
    <row r="85" spans="1:5" ht="27" customHeight="1">
      <c r="A85" s="8"/>
      <c r="B85" s="18" t="s">
        <v>120</v>
      </c>
      <c r="C85" s="19">
        <v>10</v>
      </c>
      <c r="D85" s="19"/>
      <c r="E85" s="78">
        <f>SUM(E75:E84)</f>
        <v>5149607.1666666698</v>
      </c>
    </row>
    <row r="86" spans="1:5" ht="20.100000000000001" customHeight="1">
      <c r="A86" s="8"/>
      <c r="B86" s="20"/>
      <c r="C86" s="19"/>
      <c r="D86" s="19"/>
      <c r="E86" s="122"/>
    </row>
    <row r="87" spans="1:5" ht="20.100000000000001" customHeight="1">
      <c r="A87" s="8"/>
      <c r="B87" s="18" t="s">
        <v>182</v>
      </c>
      <c r="C87" s="19"/>
      <c r="D87" s="19"/>
      <c r="E87" s="122"/>
    </row>
    <row r="88" spans="1:5" ht="20.100000000000001" customHeight="1">
      <c r="A88" s="8">
        <v>1</v>
      </c>
      <c r="B88" s="9" t="s">
        <v>183</v>
      </c>
      <c r="C88" s="2" t="s">
        <v>184</v>
      </c>
      <c r="D88" s="8" t="s">
        <v>124</v>
      </c>
      <c r="E88" s="70">
        <v>1747106.41666666</v>
      </c>
    </row>
    <row r="89" spans="1:5" ht="20.100000000000001" customHeight="1">
      <c r="A89" s="8">
        <v>2</v>
      </c>
      <c r="B89" s="9" t="s">
        <v>187</v>
      </c>
      <c r="C89" s="2" t="s">
        <v>188</v>
      </c>
      <c r="D89" s="8" t="s">
        <v>42</v>
      </c>
      <c r="E89" s="70">
        <v>722595.5</v>
      </c>
    </row>
    <row r="90" spans="1:5" ht="20.100000000000001" customHeight="1">
      <c r="A90" s="8">
        <v>3</v>
      </c>
      <c r="B90" s="9" t="s">
        <v>189</v>
      </c>
      <c r="C90" s="2" t="s">
        <v>190</v>
      </c>
      <c r="D90" s="13" t="s">
        <v>47</v>
      </c>
      <c r="E90" s="70">
        <v>573911.08333333395</v>
      </c>
    </row>
    <row r="91" spans="1:5" ht="20.100000000000001" customHeight="1">
      <c r="A91" s="8">
        <v>3</v>
      </c>
      <c r="B91" s="9" t="s">
        <v>192</v>
      </c>
      <c r="C91" s="10" t="s">
        <v>193</v>
      </c>
      <c r="D91" s="13" t="s">
        <v>67</v>
      </c>
      <c r="E91" s="70">
        <v>482846.58333333401</v>
      </c>
    </row>
    <row r="92" spans="1:5" ht="20.100000000000001" customHeight="1">
      <c r="A92" s="8">
        <v>4</v>
      </c>
      <c r="B92" s="9" t="s">
        <v>194</v>
      </c>
      <c r="C92" s="2" t="s">
        <v>195</v>
      </c>
      <c r="D92" s="13" t="s">
        <v>67</v>
      </c>
      <c r="E92" s="70">
        <v>482846.58333333302</v>
      </c>
    </row>
    <row r="93" spans="1:5" ht="20.100000000000001" customHeight="1">
      <c r="A93" s="8">
        <v>5</v>
      </c>
      <c r="B93" s="9" t="s">
        <v>196</v>
      </c>
      <c r="C93" s="2" t="s">
        <v>197</v>
      </c>
      <c r="D93" s="8" t="s">
        <v>131</v>
      </c>
      <c r="E93" s="70">
        <v>454993.58333333302</v>
      </c>
    </row>
    <row r="94" spans="1:5" ht="20.100000000000001" customHeight="1">
      <c r="A94" s="8">
        <v>6</v>
      </c>
      <c r="B94" s="9" t="s">
        <v>200</v>
      </c>
      <c r="C94" s="2" t="s">
        <v>181</v>
      </c>
      <c r="D94" s="8" t="s">
        <v>99</v>
      </c>
      <c r="E94" s="70">
        <v>347016.16666666599</v>
      </c>
    </row>
    <row r="95" spans="1:5" ht="20.100000000000001" customHeight="1">
      <c r="A95" s="8">
        <v>7</v>
      </c>
      <c r="B95" s="9" t="s">
        <v>202</v>
      </c>
      <c r="C95" s="2" t="s">
        <v>203</v>
      </c>
      <c r="D95" s="8" t="s">
        <v>108</v>
      </c>
      <c r="E95" s="70">
        <v>301910.75</v>
      </c>
    </row>
    <row r="96" spans="1:5" ht="20.100000000000001" customHeight="1">
      <c r="A96" s="8"/>
      <c r="B96" s="18" t="s">
        <v>120</v>
      </c>
      <c r="C96" s="19">
        <v>7</v>
      </c>
      <c r="D96" s="19"/>
      <c r="E96" s="78">
        <f>SUM(E88:E95)</f>
        <v>5113226.6666666605</v>
      </c>
    </row>
    <row r="97" spans="1:5" ht="20.100000000000001" customHeight="1">
      <c r="A97" s="8"/>
      <c r="B97" s="18"/>
      <c r="C97" s="19"/>
      <c r="D97" s="19"/>
      <c r="E97" s="122"/>
    </row>
    <row r="98" spans="1:5" ht="20.100000000000001" customHeight="1">
      <c r="A98" s="8"/>
      <c r="B98" s="18" t="s">
        <v>204</v>
      </c>
      <c r="C98" s="23"/>
      <c r="D98" s="19"/>
      <c r="E98" s="122"/>
    </row>
    <row r="99" spans="1:5" ht="20.100000000000001" customHeight="1">
      <c r="A99" s="8">
        <v>1</v>
      </c>
      <c r="B99" s="9" t="s">
        <v>205</v>
      </c>
      <c r="C99" s="2" t="s">
        <v>206</v>
      </c>
      <c r="D99" s="8" t="s">
        <v>577</v>
      </c>
      <c r="E99" s="70">
        <v>1647612</v>
      </c>
    </row>
    <row r="100" spans="1:5" ht="20.100000000000001" customHeight="1">
      <c r="A100" s="8">
        <v>2</v>
      </c>
      <c r="B100" s="9" t="s">
        <v>207</v>
      </c>
      <c r="C100" s="2" t="s">
        <v>208</v>
      </c>
      <c r="D100" s="8" t="s">
        <v>578</v>
      </c>
      <c r="E100" s="70">
        <v>852711.08333333302</v>
      </c>
    </row>
    <row r="101" spans="1:5" ht="20.100000000000001" customHeight="1">
      <c r="A101" s="8">
        <v>3</v>
      </c>
      <c r="B101" s="9" t="s">
        <v>210</v>
      </c>
      <c r="C101" s="2" t="s">
        <v>142</v>
      </c>
      <c r="D101" s="8" t="s">
        <v>50</v>
      </c>
      <c r="E101" s="70">
        <v>722595.5</v>
      </c>
    </row>
    <row r="102" spans="1:5" ht="21.6" customHeight="1">
      <c r="A102" s="8">
        <v>4</v>
      </c>
      <c r="B102" s="9" t="s">
        <v>211</v>
      </c>
      <c r="C102" s="2" t="s">
        <v>52</v>
      </c>
      <c r="D102" s="13" t="s">
        <v>214</v>
      </c>
      <c r="E102" s="70">
        <v>558165.25</v>
      </c>
    </row>
    <row r="103" spans="1:5" ht="21.6" customHeight="1">
      <c r="A103" s="8">
        <v>5</v>
      </c>
      <c r="B103" s="9" t="s">
        <v>212</v>
      </c>
      <c r="C103" s="2" t="s">
        <v>52</v>
      </c>
      <c r="D103" s="13" t="s">
        <v>214</v>
      </c>
      <c r="E103" s="70">
        <v>558166.25</v>
      </c>
    </row>
    <row r="104" spans="1:5" ht="21.6" customHeight="1">
      <c r="A104" s="8">
        <v>6</v>
      </c>
      <c r="B104" s="9" t="s">
        <v>213</v>
      </c>
      <c r="C104" s="10" t="s">
        <v>52</v>
      </c>
      <c r="D104" s="13" t="s">
        <v>53</v>
      </c>
      <c r="E104" s="70">
        <v>542419.5</v>
      </c>
    </row>
    <row r="105" spans="1:5" ht="21.6" customHeight="1">
      <c r="A105" s="8">
        <v>7</v>
      </c>
      <c r="B105" s="9" t="s">
        <v>215</v>
      </c>
      <c r="C105" s="15" t="s">
        <v>72</v>
      </c>
      <c r="D105" s="13" t="s">
        <v>70</v>
      </c>
      <c r="E105" s="70">
        <v>468828.16666666698</v>
      </c>
    </row>
    <row r="106" spans="1:5" ht="21.6" customHeight="1">
      <c r="A106" s="8">
        <v>8</v>
      </c>
      <c r="B106" s="9" t="s">
        <v>216</v>
      </c>
      <c r="C106" s="15" t="s">
        <v>217</v>
      </c>
      <c r="D106" s="13" t="s">
        <v>64</v>
      </c>
      <c r="E106" s="70">
        <v>497472.75</v>
      </c>
    </row>
    <row r="107" spans="1:5" ht="20.100000000000001" customHeight="1">
      <c r="A107" s="8">
        <v>9</v>
      </c>
      <c r="B107" s="16" t="s">
        <v>219</v>
      </c>
      <c r="C107" s="2" t="s">
        <v>148</v>
      </c>
      <c r="D107" s="13" t="s">
        <v>179</v>
      </c>
      <c r="E107" s="186">
        <v>441159</v>
      </c>
    </row>
    <row r="108" spans="1:5" ht="21.6" customHeight="1">
      <c r="A108" s="8">
        <v>10</v>
      </c>
      <c r="B108" s="9" t="s">
        <v>220</v>
      </c>
      <c r="C108" s="2" t="s">
        <v>221</v>
      </c>
      <c r="D108" s="8" t="s">
        <v>78</v>
      </c>
      <c r="E108" s="186">
        <v>390135.83333333401</v>
      </c>
    </row>
    <row r="109" spans="1:5" ht="21.6" customHeight="1">
      <c r="A109" s="8">
        <v>11</v>
      </c>
      <c r="B109" s="9" t="s">
        <v>224</v>
      </c>
      <c r="C109" s="15" t="s">
        <v>554</v>
      </c>
      <c r="D109" s="13" t="s">
        <v>105</v>
      </c>
      <c r="E109" s="186">
        <v>308920.66666666698</v>
      </c>
    </row>
    <row r="110" spans="1:5" ht="20.100000000000001" customHeight="1">
      <c r="A110" s="8"/>
      <c r="B110" s="18" t="s">
        <v>120</v>
      </c>
      <c r="C110" s="19">
        <v>11</v>
      </c>
      <c r="D110" s="19"/>
      <c r="E110" s="78">
        <f>SUM(E99:E109)</f>
        <v>6988186</v>
      </c>
    </row>
    <row r="111" spans="1:5" ht="20.100000000000001" customHeight="1">
      <c r="A111" s="8"/>
      <c r="B111" s="20"/>
      <c r="C111" s="19"/>
      <c r="D111" s="19"/>
      <c r="E111" s="122"/>
    </row>
    <row r="112" spans="1:5" ht="20.100000000000001" customHeight="1">
      <c r="A112" s="8"/>
      <c r="B112" s="18" t="s">
        <v>226</v>
      </c>
      <c r="C112" s="19"/>
      <c r="D112" s="19"/>
      <c r="E112" s="122"/>
    </row>
    <row r="113" spans="1:5" ht="20.100000000000001" customHeight="1">
      <c r="A113" s="8">
        <v>1</v>
      </c>
      <c r="B113" s="12" t="s">
        <v>227</v>
      </c>
      <c r="C113" s="2" t="s">
        <v>626</v>
      </c>
      <c r="D113" s="14" t="s">
        <v>140</v>
      </c>
      <c r="E113" s="70">
        <v>1697359.33333333</v>
      </c>
    </row>
    <row r="114" spans="1:5" ht="20.100000000000001" customHeight="1">
      <c r="A114" s="8">
        <v>2</v>
      </c>
      <c r="B114" s="9" t="s">
        <v>229</v>
      </c>
      <c r="C114" s="2" t="s">
        <v>230</v>
      </c>
      <c r="D114" s="13" t="s">
        <v>47</v>
      </c>
      <c r="E114" s="70">
        <v>573911.08333333395</v>
      </c>
    </row>
    <row r="115" spans="1:5" ht="20.100000000000001" customHeight="1">
      <c r="A115" s="8">
        <v>3</v>
      </c>
      <c r="B115" s="9" t="s">
        <v>231</v>
      </c>
      <c r="C115" s="10" t="s">
        <v>232</v>
      </c>
      <c r="D115" s="13" t="s">
        <v>64</v>
      </c>
      <c r="E115" s="70">
        <v>497472.75</v>
      </c>
    </row>
    <row r="116" spans="1:5" ht="20.100000000000001" customHeight="1">
      <c r="A116" s="8">
        <v>4</v>
      </c>
      <c r="B116" s="9" t="s">
        <v>233</v>
      </c>
      <c r="C116" s="2" t="s">
        <v>234</v>
      </c>
      <c r="D116" s="13" t="s">
        <v>67</v>
      </c>
      <c r="E116" s="52">
        <v>482846.58333333302</v>
      </c>
    </row>
    <row r="117" spans="1:5" ht="20.100000000000001" customHeight="1">
      <c r="A117" s="8">
        <v>5</v>
      </c>
      <c r="B117" s="9" t="s">
        <v>235</v>
      </c>
      <c r="C117" s="2" t="s">
        <v>627</v>
      </c>
      <c r="D117" s="13" t="s">
        <v>172</v>
      </c>
      <c r="E117" s="70">
        <v>482662.66666666698</v>
      </c>
    </row>
    <row r="118" spans="1:5" ht="20.100000000000001" customHeight="1">
      <c r="A118" s="8">
        <v>6</v>
      </c>
      <c r="B118" s="9" t="s">
        <v>236</v>
      </c>
      <c r="C118" s="2" t="s">
        <v>199</v>
      </c>
      <c r="D118" s="13" t="s">
        <v>78</v>
      </c>
      <c r="E118" s="186">
        <v>390135.83333333401</v>
      </c>
    </row>
    <row r="119" spans="1:5" ht="20.100000000000001" customHeight="1">
      <c r="A119" s="2"/>
      <c r="B119" s="18" t="s">
        <v>120</v>
      </c>
      <c r="C119" s="19">
        <v>6</v>
      </c>
      <c r="D119" s="24"/>
      <c r="E119" s="78">
        <f>SUM(E113:E118)</f>
        <v>4124388.25</v>
      </c>
    </row>
    <row r="120" spans="1:5" ht="20.100000000000001" customHeight="1">
      <c r="A120" s="2"/>
      <c r="B120" s="20"/>
      <c r="C120" s="19"/>
      <c r="D120" s="24"/>
      <c r="E120" s="122"/>
    </row>
    <row r="121" spans="1:5" ht="20.100000000000001" customHeight="1">
      <c r="A121" s="2"/>
      <c r="B121" s="18" t="s">
        <v>239</v>
      </c>
      <c r="C121" s="2"/>
      <c r="D121" s="2"/>
      <c r="E121" s="2"/>
    </row>
    <row r="122" spans="1:5" ht="20.100000000000001" customHeight="1">
      <c r="A122" s="2">
        <v>1</v>
      </c>
      <c r="B122" s="9" t="s">
        <v>628</v>
      </c>
      <c r="C122" s="10" t="s">
        <v>241</v>
      </c>
      <c r="D122" s="13" t="s">
        <v>124</v>
      </c>
      <c r="E122" s="70">
        <v>1747106.41666666</v>
      </c>
    </row>
    <row r="123" spans="1:5" ht="20.100000000000001" customHeight="1">
      <c r="A123" s="2">
        <v>2</v>
      </c>
      <c r="B123" s="9" t="s">
        <v>242</v>
      </c>
      <c r="C123" s="2" t="s">
        <v>243</v>
      </c>
      <c r="D123" s="14" t="s">
        <v>36</v>
      </c>
      <c r="E123" s="70">
        <v>905306.75</v>
      </c>
    </row>
    <row r="124" spans="1:5" ht="20.100000000000001" customHeight="1">
      <c r="A124" s="2">
        <v>3</v>
      </c>
      <c r="B124" s="9" t="s">
        <v>244</v>
      </c>
      <c r="C124" s="2" t="s">
        <v>629</v>
      </c>
      <c r="D124" s="8" t="s">
        <v>56</v>
      </c>
      <c r="E124" s="70">
        <v>541351.33333333302</v>
      </c>
    </row>
    <row r="125" spans="1:5" ht="20.100000000000001" customHeight="1">
      <c r="A125" s="2">
        <v>4</v>
      </c>
      <c r="B125" s="9" t="s">
        <v>246</v>
      </c>
      <c r="C125" s="2" t="s">
        <v>629</v>
      </c>
      <c r="D125" s="8" t="s">
        <v>574</v>
      </c>
      <c r="E125" s="70">
        <v>542419.5</v>
      </c>
    </row>
    <row r="126" spans="1:5" ht="20.100000000000001" customHeight="1">
      <c r="A126" s="2">
        <v>5</v>
      </c>
      <c r="B126" s="9" t="s">
        <v>249</v>
      </c>
      <c r="C126" s="2" t="s">
        <v>250</v>
      </c>
      <c r="D126" s="13" t="s">
        <v>579</v>
      </c>
      <c r="E126" s="186">
        <v>329950.41666666698</v>
      </c>
    </row>
    <row r="127" spans="1:5" ht="20.100000000000001" customHeight="1">
      <c r="A127" s="2">
        <v>6</v>
      </c>
      <c r="B127" s="16" t="s">
        <v>252</v>
      </c>
      <c r="C127" s="2" t="s">
        <v>250</v>
      </c>
      <c r="D127" s="8" t="s">
        <v>225</v>
      </c>
      <c r="E127" s="186">
        <v>330407.08333333302</v>
      </c>
    </row>
    <row r="128" spans="1:5" ht="20.100000000000001" customHeight="1">
      <c r="A128" s="2">
        <v>7</v>
      </c>
      <c r="B128" s="16" t="s">
        <v>253</v>
      </c>
      <c r="C128" s="2" t="s">
        <v>250</v>
      </c>
      <c r="D128" s="13" t="s">
        <v>105</v>
      </c>
      <c r="E128" s="186">
        <v>308920.66666666698</v>
      </c>
    </row>
    <row r="129" spans="1:5" ht="25.5" customHeight="1">
      <c r="A129" s="2"/>
      <c r="B129" s="18" t="s">
        <v>120</v>
      </c>
      <c r="C129" s="19">
        <v>7</v>
      </c>
      <c r="D129" s="2"/>
      <c r="E129" s="189">
        <f>SUM(E122:E128)</f>
        <v>4705462.1666666605</v>
      </c>
    </row>
    <row r="130" spans="1:5" ht="20.100000000000001" customHeight="1">
      <c r="A130" s="2"/>
      <c r="B130" s="18"/>
      <c r="C130" s="19"/>
      <c r="D130" s="2"/>
      <c r="E130" s="189"/>
    </row>
    <row r="131" spans="1:5" ht="20.100000000000001" customHeight="1">
      <c r="A131" s="8"/>
      <c r="B131" s="18" t="s">
        <v>257</v>
      </c>
      <c r="C131" s="19"/>
      <c r="D131" s="19"/>
      <c r="E131" s="122"/>
    </row>
    <row r="132" spans="1:5" ht="18.75" customHeight="1">
      <c r="A132" s="8">
        <v>1</v>
      </c>
      <c r="B132" s="9" t="s">
        <v>259</v>
      </c>
      <c r="C132" s="2" t="s">
        <v>260</v>
      </c>
      <c r="D132" s="13" t="s">
        <v>172</v>
      </c>
      <c r="E132" s="70">
        <v>482662.66666666698</v>
      </c>
    </row>
    <row r="133" spans="1:5" ht="18.75" customHeight="1">
      <c r="A133" s="8">
        <v>2</v>
      </c>
      <c r="B133" s="9" t="s">
        <v>484</v>
      </c>
      <c r="C133" s="2" t="s">
        <v>72</v>
      </c>
      <c r="D133" s="13" t="s">
        <v>70</v>
      </c>
      <c r="E133" s="70">
        <v>468828.16666666698</v>
      </c>
    </row>
    <row r="134" spans="1:5" ht="18.75" customHeight="1">
      <c r="A134" s="8">
        <v>4</v>
      </c>
      <c r="B134" s="16" t="s">
        <v>262</v>
      </c>
      <c r="C134" s="2" t="s">
        <v>150</v>
      </c>
      <c r="D134" s="8" t="s">
        <v>225</v>
      </c>
      <c r="E134" s="70">
        <v>330407.08333333302</v>
      </c>
    </row>
    <row r="135" spans="1:5" ht="18.75" customHeight="1">
      <c r="A135" s="8">
        <v>5</v>
      </c>
      <c r="B135" s="16" t="s">
        <v>263</v>
      </c>
      <c r="C135" s="2" t="s">
        <v>150</v>
      </c>
      <c r="D135" s="8" t="s">
        <v>225</v>
      </c>
      <c r="E135" s="70">
        <v>330407.08333333302</v>
      </c>
    </row>
    <row r="136" spans="1:5" ht="20.100000000000001" customHeight="1">
      <c r="A136" s="8">
        <v>6</v>
      </c>
      <c r="B136" s="16" t="s">
        <v>266</v>
      </c>
      <c r="C136" s="10" t="s">
        <v>267</v>
      </c>
      <c r="D136" s="13" t="s">
        <v>277</v>
      </c>
      <c r="E136" s="70">
        <v>287890.91666666698</v>
      </c>
    </row>
    <row r="137" spans="1:5" ht="24.75" customHeight="1">
      <c r="A137" s="2"/>
      <c r="B137" s="18" t="s">
        <v>120</v>
      </c>
      <c r="C137" s="19">
        <v>6</v>
      </c>
      <c r="D137" s="24"/>
      <c r="E137" s="78">
        <f>SUM(E132:E136)</f>
        <v>1900195.91666667</v>
      </c>
    </row>
    <row r="138" spans="1:5" ht="24.75" customHeight="1">
      <c r="A138" s="2"/>
      <c r="B138" s="18"/>
      <c r="C138" s="19"/>
      <c r="D138" s="24"/>
      <c r="E138" s="78"/>
    </row>
    <row r="139" spans="1:5" ht="24.75" customHeight="1">
      <c r="A139" s="8"/>
      <c r="B139" s="18" t="s">
        <v>268</v>
      </c>
      <c r="C139" s="19"/>
      <c r="D139" s="19"/>
      <c r="E139" s="122"/>
    </row>
    <row r="140" spans="1:5" ht="18.75" customHeight="1">
      <c r="A140" s="25">
        <v>1</v>
      </c>
      <c r="B140" s="16" t="s">
        <v>271</v>
      </c>
      <c r="C140" s="2" t="s">
        <v>272</v>
      </c>
      <c r="D140" s="8" t="s">
        <v>225</v>
      </c>
      <c r="E140" s="70">
        <v>330407.08333333302</v>
      </c>
    </row>
    <row r="141" spans="1:5" ht="24.75" customHeight="1">
      <c r="A141" s="8">
        <v>2</v>
      </c>
      <c r="B141" s="9" t="s">
        <v>273</v>
      </c>
      <c r="C141" s="2" t="s">
        <v>274</v>
      </c>
      <c r="D141" s="8" t="s">
        <v>277</v>
      </c>
      <c r="E141" s="70">
        <v>287890.91666666698</v>
      </c>
    </row>
    <row r="142" spans="1:5" ht="24.75" customHeight="1">
      <c r="A142" s="8">
        <v>3</v>
      </c>
      <c r="B142" s="9" t="s">
        <v>278</v>
      </c>
      <c r="C142" s="2" t="s">
        <v>279</v>
      </c>
      <c r="D142" s="8" t="s">
        <v>277</v>
      </c>
      <c r="E142" s="70">
        <v>287890.91666666698</v>
      </c>
    </row>
    <row r="143" spans="1:5" ht="20.100000000000001" customHeight="1">
      <c r="A143" s="2"/>
      <c r="B143" s="18" t="s">
        <v>120</v>
      </c>
      <c r="C143" s="19">
        <v>3</v>
      </c>
      <c r="D143" s="24"/>
      <c r="E143" s="78">
        <f>SUM(E140:E142)</f>
        <v>906188.91666666698</v>
      </c>
    </row>
    <row r="144" spans="1:5" ht="20.100000000000001" customHeight="1">
      <c r="A144" s="2"/>
      <c r="B144" s="18"/>
      <c r="C144" s="19"/>
      <c r="D144" s="24"/>
      <c r="E144" s="78"/>
    </row>
    <row r="145" spans="1:6" ht="20.100000000000001" customHeight="1">
      <c r="A145" s="2"/>
      <c r="B145" s="18" t="s">
        <v>280</v>
      </c>
      <c r="C145" s="19"/>
      <c r="D145" s="19"/>
      <c r="E145" s="122"/>
    </row>
    <row r="146" spans="1:6" ht="20.100000000000001" customHeight="1">
      <c r="A146" s="2">
        <v>1</v>
      </c>
      <c r="B146" s="9" t="s">
        <v>281</v>
      </c>
      <c r="C146" s="10" t="s">
        <v>282</v>
      </c>
      <c r="D146" s="13" t="s">
        <v>124</v>
      </c>
      <c r="E146" s="70">
        <v>1747106.41666666</v>
      </c>
    </row>
    <row r="147" spans="1:6" ht="20.100000000000001" customHeight="1">
      <c r="A147" s="2">
        <v>2</v>
      </c>
      <c r="B147" s="9" t="s">
        <v>283</v>
      </c>
      <c r="C147" s="10" t="s">
        <v>630</v>
      </c>
      <c r="D147" s="13" t="s">
        <v>36</v>
      </c>
      <c r="E147" s="70">
        <v>905306.75</v>
      </c>
    </row>
    <row r="148" spans="1:6" ht="20.100000000000001" customHeight="1">
      <c r="A148" s="2">
        <v>3</v>
      </c>
      <c r="B148" s="12" t="s">
        <v>285</v>
      </c>
      <c r="C148" s="10" t="s">
        <v>631</v>
      </c>
      <c r="D148" s="13" t="s">
        <v>209</v>
      </c>
      <c r="E148" s="70">
        <v>879008.91666666698</v>
      </c>
      <c r="F148" s="11"/>
    </row>
    <row r="149" spans="1:6" ht="20.100000000000001" customHeight="1">
      <c r="A149" s="2">
        <v>4</v>
      </c>
      <c r="B149" s="9" t="s">
        <v>288</v>
      </c>
      <c r="C149" s="10" t="s">
        <v>290</v>
      </c>
      <c r="D149" s="13" t="s">
        <v>191</v>
      </c>
      <c r="E149" s="70">
        <v>589657</v>
      </c>
    </row>
    <row r="150" spans="1:6" ht="20.100000000000001" customHeight="1">
      <c r="A150" s="2">
        <v>5</v>
      </c>
      <c r="B150" s="9" t="s">
        <v>289</v>
      </c>
      <c r="C150" s="10" t="s">
        <v>290</v>
      </c>
      <c r="D150" s="13" t="s">
        <v>214</v>
      </c>
      <c r="E150" s="70">
        <v>558165.25</v>
      </c>
    </row>
    <row r="151" spans="1:6" ht="20.100000000000001" customHeight="1">
      <c r="A151" s="2">
        <v>6</v>
      </c>
      <c r="B151" s="9" t="s">
        <v>291</v>
      </c>
      <c r="C151" s="10" t="s">
        <v>290</v>
      </c>
      <c r="D151" s="13" t="s">
        <v>47</v>
      </c>
      <c r="E151" s="70">
        <v>573911.08333333395</v>
      </c>
    </row>
    <row r="152" spans="1:6" ht="20.100000000000001" customHeight="1">
      <c r="A152" s="2">
        <v>7</v>
      </c>
      <c r="B152" s="16" t="s">
        <v>292</v>
      </c>
      <c r="C152" s="10" t="s">
        <v>293</v>
      </c>
      <c r="D152" s="13" t="s">
        <v>81</v>
      </c>
      <c r="E152" s="70">
        <v>372145.33333333302</v>
      </c>
    </row>
    <row r="153" spans="1:6" ht="20.100000000000001" customHeight="1">
      <c r="A153" s="2">
        <v>8</v>
      </c>
      <c r="B153" s="9" t="s">
        <v>294</v>
      </c>
      <c r="C153" s="10" t="s">
        <v>633</v>
      </c>
      <c r="D153" s="8" t="s">
        <v>154</v>
      </c>
      <c r="E153" s="70">
        <v>355320.66666666698</v>
      </c>
    </row>
    <row r="154" spans="1:6" ht="20.100000000000001" customHeight="1">
      <c r="A154" s="2">
        <v>9</v>
      </c>
      <c r="B154" s="16" t="s">
        <v>296</v>
      </c>
      <c r="C154" s="10" t="s">
        <v>297</v>
      </c>
      <c r="D154" s="13" t="s">
        <v>108</v>
      </c>
      <c r="E154" s="70">
        <v>301910.75</v>
      </c>
    </row>
    <row r="155" spans="1:6" ht="20.100000000000001" customHeight="1">
      <c r="A155" s="2">
        <v>10</v>
      </c>
      <c r="B155" s="16" t="s">
        <v>298</v>
      </c>
      <c r="C155" s="10" t="s">
        <v>293</v>
      </c>
      <c r="D155" s="13" t="s">
        <v>108</v>
      </c>
      <c r="E155" s="70">
        <v>301910.75</v>
      </c>
    </row>
    <row r="156" spans="1:6" ht="20.100000000000001" customHeight="1">
      <c r="A156" s="2">
        <v>11</v>
      </c>
      <c r="B156" s="16" t="s">
        <v>299</v>
      </c>
      <c r="C156" s="10" t="s">
        <v>297</v>
      </c>
      <c r="D156" s="13" t="s">
        <v>111</v>
      </c>
      <c r="E156" s="883">
        <v>294900.83333333401</v>
      </c>
    </row>
    <row r="157" spans="1:6" ht="28.5" customHeight="1">
      <c r="A157" s="2"/>
      <c r="B157" s="18" t="s">
        <v>120</v>
      </c>
      <c r="C157" s="24" t="s">
        <v>884</v>
      </c>
      <c r="D157" s="13"/>
      <c r="E157" s="187">
        <f>SUM(E146:E156)</f>
        <v>6879343.7499999898</v>
      </c>
    </row>
    <row r="158" spans="1:6" ht="20.100000000000001" customHeight="1">
      <c r="A158" s="2"/>
      <c r="B158" s="20"/>
      <c r="C158" s="24"/>
      <c r="D158" s="13"/>
      <c r="E158" s="122"/>
    </row>
    <row r="159" spans="1:6" ht="20.100000000000001" customHeight="1">
      <c r="A159" s="2"/>
      <c r="B159" s="18" t="s">
        <v>301</v>
      </c>
      <c r="C159" s="10"/>
      <c r="D159" s="13"/>
      <c r="E159" s="70"/>
    </row>
    <row r="160" spans="1:6" ht="20.100000000000001" customHeight="1">
      <c r="A160" s="25">
        <v>1</v>
      </c>
      <c r="B160" s="12" t="s">
        <v>302</v>
      </c>
      <c r="C160" s="2" t="s">
        <v>303</v>
      </c>
      <c r="D160" s="8" t="s">
        <v>580</v>
      </c>
      <c r="E160" s="70">
        <v>1647612</v>
      </c>
    </row>
    <row r="161" spans="1:5" ht="20.100000000000001" customHeight="1">
      <c r="A161" s="25">
        <v>2</v>
      </c>
      <c r="B161" s="12" t="s">
        <v>305</v>
      </c>
      <c r="C161" s="2" t="s">
        <v>306</v>
      </c>
      <c r="D161" s="14" t="s">
        <v>36</v>
      </c>
      <c r="E161" s="70">
        <v>905306.75</v>
      </c>
    </row>
    <row r="162" spans="1:5" ht="20.100000000000001" customHeight="1">
      <c r="A162" s="25">
        <v>3</v>
      </c>
      <c r="B162" s="9" t="s">
        <v>307</v>
      </c>
      <c r="C162" s="10" t="s">
        <v>308</v>
      </c>
      <c r="D162" s="13" t="s">
        <v>42</v>
      </c>
      <c r="E162" s="70">
        <v>700713.91666666605</v>
      </c>
    </row>
    <row r="163" spans="1:5" ht="20.100000000000001" customHeight="1">
      <c r="A163" s="25">
        <v>4</v>
      </c>
      <c r="B163" s="9" t="s">
        <v>309</v>
      </c>
      <c r="C163" s="2" t="s">
        <v>310</v>
      </c>
      <c r="D163" s="13" t="s">
        <v>42</v>
      </c>
      <c r="E163" s="70">
        <v>700713.91666666605</v>
      </c>
    </row>
    <row r="164" spans="1:5" ht="20.100000000000001" customHeight="1">
      <c r="A164" s="25">
        <v>5</v>
      </c>
      <c r="B164" s="9" t="s">
        <v>311</v>
      </c>
      <c r="C164" s="2" t="s">
        <v>310</v>
      </c>
      <c r="D164" s="13" t="s">
        <v>42</v>
      </c>
      <c r="E164" s="70">
        <v>700713.91666666605</v>
      </c>
    </row>
    <row r="165" spans="1:5" ht="20.100000000000001" customHeight="1">
      <c r="A165" s="25">
        <v>6</v>
      </c>
      <c r="B165" s="9" t="s">
        <v>314</v>
      </c>
      <c r="C165" s="10" t="s">
        <v>232</v>
      </c>
      <c r="D165" s="13" t="s">
        <v>67</v>
      </c>
      <c r="E165" s="70">
        <v>482846.58333333401</v>
      </c>
    </row>
    <row r="166" spans="1:5" ht="20.100000000000001" customHeight="1">
      <c r="A166" s="25">
        <v>7</v>
      </c>
      <c r="B166" s="9" t="s">
        <v>315</v>
      </c>
      <c r="C166" s="2" t="s">
        <v>316</v>
      </c>
      <c r="D166" s="13" t="s">
        <v>67</v>
      </c>
      <c r="E166" s="70">
        <v>482846.58333333401</v>
      </c>
    </row>
    <row r="167" spans="1:5" ht="20.100000000000001" customHeight="1">
      <c r="A167" s="25">
        <v>8</v>
      </c>
      <c r="B167" s="9" t="s">
        <v>317</v>
      </c>
      <c r="C167" s="10" t="s">
        <v>636</v>
      </c>
      <c r="D167" s="13" t="s">
        <v>172</v>
      </c>
      <c r="E167" s="70">
        <v>482662.66666666698</v>
      </c>
    </row>
    <row r="168" spans="1:5" ht="20.100000000000001" customHeight="1">
      <c r="A168" s="25">
        <v>9</v>
      </c>
      <c r="B168" s="9" t="s">
        <v>319</v>
      </c>
      <c r="C168" s="10" t="s">
        <v>320</v>
      </c>
      <c r="D168" s="13" t="s">
        <v>70</v>
      </c>
      <c r="E168" s="70">
        <v>468828.16666666698</v>
      </c>
    </row>
    <row r="169" spans="1:5" ht="20.100000000000001" customHeight="1">
      <c r="A169" s="25">
        <v>10</v>
      </c>
      <c r="B169" s="16" t="s">
        <v>321</v>
      </c>
      <c r="C169" s="2" t="s">
        <v>322</v>
      </c>
      <c r="D169" s="13" t="s">
        <v>131</v>
      </c>
      <c r="E169" s="186">
        <v>454993.58333333302</v>
      </c>
    </row>
    <row r="170" spans="1:5" ht="20.100000000000001" customHeight="1">
      <c r="A170" s="25">
        <v>11</v>
      </c>
      <c r="B170" s="9" t="s">
        <v>323</v>
      </c>
      <c r="C170" s="2" t="s">
        <v>322</v>
      </c>
      <c r="D170" s="13" t="s">
        <v>179</v>
      </c>
      <c r="E170" s="186">
        <v>441159</v>
      </c>
    </row>
    <row r="171" spans="1:5" ht="20.100000000000001" customHeight="1">
      <c r="A171" s="25">
        <v>12</v>
      </c>
      <c r="B171" s="9" t="s">
        <v>324</v>
      </c>
      <c r="C171" s="2" t="s">
        <v>322</v>
      </c>
      <c r="D171" s="13" t="s">
        <v>179</v>
      </c>
      <c r="E171" s="186">
        <v>441159</v>
      </c>
    </row>
    <row r="172" spans="1:5" ht="20.100000000000001" customHeight="1">
      <c r="A172" s="25">
        <v>12</v>
      </c>
      <c r="B172" s="9" t="s">
        <v>325</v>
      </c>
      <c r="C172" s="2" t="s">
        <v>322</v>
      </c>
      <c r="D172" s="13" t="s">
        <v>179</v>
      </c>
      <c r="E172" s="186">
        <v>441159</v>
      </c>
    </row>
    <row r="173" spans="1:5" ht="20.100000000000001" customHeight="1">
      <c r="A173" s="25">
        <v>13</v>
      </c>
      <c r="B173" s="264" t="s">
        <v>326</v>
      </c>
      <c r="C173" s="2" t="s">
        <v>322</v>
      </c>
      <c r="D173" s="13" t="s">
        <v>131</v>
      </c>
      <c r="E173" s="186">
        <v>454993.58333333302</v>
      </c>
    </row>
    <row r="174" spans="1:5" ht="20.100000000000001" customHeight="1">
      <c r="A174" s="25">
        <v>14</v>
      </c>
      <c r="B174" s="9" t="s">
        <v>327</v>
      </c>
      <c r="C174" s="10" t="s">
        <v>328</v>
      </c>
      <c r="D174" s="13" t="s">
        <v>78</v>
      </c>
      <c r="E174" s="186">
        <v>390135.83333333401</v>
      </c>
    </row>
    <row r="175" spans="1:5" ht="20.100000000000001" customHeight="1">
      <c r="A175" s="25">
        <v>15</v>
      </c>
      <c r="B175" s="9" t="s">
        <v>329</v>
      </c>
      <c r="C175" s="10" t="s">
        <v>330</v>
      </c>
      <c r="D175" s="8" t="s">
        <v>86</v>
      </c>
      <c r="E175" s="70">
        <v>347016.16666666599</v>
      </c>
    </row>
    <row r="176" spans="1:5" ht="20.100000000000001" customHeight="1">
      <c r="A176" s="25">
        <v>16</v>
      </c>
      <c r="B176" s="9" t="s">
        <v>331</v>
      </c>
      <c r="C176" s="10" t="s">
        <v>637</v>
      </c>
      <c r="D176" s="13" t="s">
        <v>151</v>
      </c>
      <c r="E176" s="186">
        <v>399131.16666666698</v>
      </c>
    </row>
    <row r="177" spans="1:5" ht="20.100000000000001" customHeight="1">
      <c r="A177" s="25">
        <v>17</v>
      </c>
      <c r="B177" s="9" t="s">
        <v>333</v>
      </c>
      <c r="C177" s="10" t="s">
        <v>638</v>
      </c>
      <c r="D177" s="13" t="s">
        <v>154</v>
      </c>
      <c r="E177" s="186">
        <v>355320.66666666698</v>
      </c>
    </row>
    <row r="178" spans="1:5" ht="20.100000000000001" customHeight="1">
      <c r="A178" s="25">
        <v>18</v>
      </c>
      <c r="B178" s="9" t="s">
        <v>335</v>
      </c>
      <c r="C178" s="10" t="s">
        <v>639</v>
      </c>
      <c r="D178" s="13" t="s">
        <v>151</v>
      </c>
      <c r="E178" s="186">
        <v>399131.16666666698</v>
      </c>
    </row>
    <row r="179" spans="1:5" ht="20.100000000000001" customHeight="1">
      <c r="A179" s="25">
        <v>19</v>
      </c>
      <c r="B179" s="9" t="s">
        <v>336</v>
      </c>
      <c r="C179" s="10" t="s">
        <v>640</v>
      </c>
      <c r="D179" s="13" t="s">
        <v>154</v>
      </c>
      <c r="E179" s="186">
        <v>355320.66666666698</v>
      </c>
    </row>
    <row r="180" spans="1:5" ht="20.100000000000001" customHeight="1">
      <c r="A180" s="25">
        <v>20</v>
      </c>
      <c r="B180" s="16" t="s">
        <v>338</v>
      </c>
      <c r="C180" s="10" t="s">
        <v>339</v>
      </c>
      <c r="D180" s="13" t="s">
        <v>99</v>
      </c>
      <c r="E180" s="186">
        <v>338711.66666666698</v>
      </c>
    </row>
    <row r="181" spans="1:5" ht="20.100000000000001" customHeight="1">
      <c r="A181" s="25">
        <v>21</v>
      </c>
      <c r="B181" s="16" t="s">
        <v>340</v>
      </c>
      <c r="C181" s="10" t="s">
        <v>339</v>
      </c>
      <c r="D181" s="13" t="s">
        <v>99</v>
      </c>
      <c r="E181" s="186">
        <v>338711.66666666698</v>
      </c>
    </row>
    <row r="182" spans="1:5" ht="18.75" customHeight="1">
      <c r="A182" s="25">
        <v>22</v>
      </c>
      <c r="B182" s="16" t="s">
        <v>341</v>
      </c>
      <c r="C182" s="2" t="s">
        <v>342</v>
      </c>
      <c r="D182" s="8" t="s">
        <v>225</v>
      </c>
      <c r="E182" s="70">
        <v>330407.08333333302</v>
      </c>
    </row>
    <row r="183" spans="1:5" ht="20.100000000000001" customHeight="1">
      <c r="A183" s="25">
        <v>23</v>
      </c>
      <c r="B183" s="16" t="s">
        <v>345</v>
      </c>
      <c r="C183" s="10" t="s">
        <v>346</v>
      </c>
      <c r="D183" s="13" t="s">
        <v>108</v>
      </c>
      <c r="E183" s="70">
        <v>301910.75</v>
      </c>
    </row>
    <row r="184" spans="1:5" ht="20.100000000000001" customHeight="1">
      <c r="A184" s="25">
        <v>24</v>
      </c>
      <c r="B184" s="16" t="s">
        <v>347</v>
      </c>
      <c r="C184" s="10" t="s">
        <v>348</v>
      </c>
      <c r="D184" s="13" t="s">
        <v>108</v>
      </c>
      <c r="E184" s="70">
        <v>301910.75</v>
      </c>
    </row>
    <row r="185" spans="1:5" ht="20.100000000000001" customHeight="1">
      <c r="A185" s="25">
        <v>25</v>
      </c>
      <c r="B185" s="16" t="s">
        <v>349</v>
      </c>
      <c r="C185" s="10" t="s">
        <v>350</v>
      </c>
      <c r="D185" s="13" t="s">
        <v>108</v>
      </c>
      <c r="E185" s="70">
        <v>301910.75</v>
      </c>
    </row>
    <row r="186" spans="1:5" ht="20.100000000000001" customHeight="1">
      <c r="A186" s="25">
        <v>26</v>
      </c>
      <c r="B186" s="16" t="s">
        <v>351</v>
      </c>
      <c r="C186" s="10" t="s">
        <v>641</v>
      </c>
      <c r="D186" s="13" t="s">
        <v>105</v>
      </c>
      <c r="E186" s="70">
        <v>308920.66666666698</v>
      </c>
    </row>
    <row r="187" spans="1:5" ht="20.100000000000001" customHeight="1">
      <c r="A187" s="25">
        <v>27</v>
      </c>
      <c r="B187" s="16" t="s">
        <v>352</v>
      </c>
      <c r="C187" s="10" t="s">
        <v>348</v>
      </c>
      <c r="D187" s="13" t="s">
        <v>108</v>
      </c>
      <c r="E187" s="70">
        <v>301910.75</v>
      </c>
    </row>
    <row r="188" spans="1:5" ht="20.100000000000001" customHeight="1">
      <c r="A188" s="25">
        <v>28</v>
      </c>
      <c r="B188" s="16" t="s">
        <v>353</v>
      </c>
      <c r="C188" s="10" t="s">
        <v>354</v>
      </c>
      <c r="D188" s="13" t="s">
        <v>111</v>
      </c>
      <c r="E188" s="630">
        <v>294900.83333333401</v>
      </c>
    </row>
    <row r="189" spans="1:5" ht="20.100000000000001" customHeight="1">
      <c r="A189" s="25">
        <v>29</v>
      </c>
      <c r="B189" s="16" t="s">
        <v>355</v>
      </c>
      <c r="C189" s="10" t="s">
        <v>354</v>
      </c>
      <c r="D189" s="13" t="s">
        <v>111</v>
      </c>
      <c r="E189" s="630">
        <v>294900.83333333401</v>
      </c>
    </row>
    <row r="190" spans="1:5" ht="20.100000000000001" customHeight="1">
      <c r="A190" s="25">
        <v>30</v>
      </c>
      <c r="B190" s="16" t="s">
        <v>485</v>
      </c>
      <c r="C190" s="10" t="s">
        <v>581</v>
      </c>
      <c r="D190" s="13" t="s">
        <v>277</v>
      </c>
      <c r="E190" s="70">
        <v>287890.91666666698</v>
      </c>
    </row>
    <row r="191" spans="1:5" ht="20.100000000000001" customHeight="1">
      <c r="A191" s="25">
        <v>31</v>
      </c>
      <c r="B191" s="16" t="s">
        <v>356</v>
      </c>
      <c r="C191" s="10" t="s">
        <v>344</v>
      </c>
      <c r="D191" s="13" t="s">
        <v>277</v>
      </c>
      <c r="E191" s="70">
        <v>287890.91666666698</v>
      </c>
    </row>
    <row r="192" spans="1:5" ht="20.100000000000001" customHeight="1">
      <c r="A192" s="25">
        <v>32</v>
      </c>
      <c r="B192" s="16" t="s">
        <v>343</v>
      </c>
      <c r="C192" s="10" t="s">
        <v>344</v>
      </c>
      <c r="D192" s="13" t="s">
        <v>277</v>
      </c>
      <c r="E192" s="70">
        <v>287890.91666666698</v>
      </c>
    </row>
    <row r="193" spans="1:5" ht="20.100000000000001" customHeight="1">
      <c r="A193" s="25">
        <v>33</v>
      </c>
      <c r="B193" s="9" t="s">
        <v>361</v>
      </c>
      <c r="C193" s="10" t="s">
        <v>556</v>
      </c>
      <c r="D193" s="13" t="s">
        <v>374</v>
      </c>
      <c r="E193" s="192">
        <v>237717.16666666599</v>
      </c>
    </row>
    <row r="194" spans="1:5" ht="20.100000000000001" customHeight="1">
      <c r="A194" s="25">
        <v>34</v>
      </c>
      <c r="B194" s="9" t="s">
        <v>364</v>
      </c>
      <c r="C194" s="10" t="s">
        <v>556</v>
      </c>
      <c r="D194" s="13" t="s">
        <v>374</v>
      </c>
      <c r="E194" s="192">
        <v>237717.16666666599</v>
      </c>
    </row>
    <row r="195" spans="1:5" ht="20.100000000000001" customHeight="1">
      <c r="A195" s="25">
        <v>35</v>
      </c>
      <c r="B195" s="9" t="s">
        <v>642</v>
      </c>
      <c r="C195" s="10" t="s">
        <v>556</v>
      </c>
      <c r="D195" s="13" t="s">
        <v>374</v>
      </c>
      <c r="E195" s="192">
        <v>237717.16666666599</v>
      </c>
    </row>
    <row r="196" spans="1:5" ht="20.100000000000001" customHeight="1">
      <c r="A196" s="25">
        <v>36</v>
      </c>
      <c r="B196" s="9" t="s">
        <v>365</v>
      </c>
      <c r="C196" s="10" t="s">
        <v>556</v>
      </c>
      <c r="D196" s="13" t="s">
        <v>374</v>
      </c>
      <c r="E196" s="192">
        <v>237717.16666666599</v>
      </c>
    </row>
    <row r="197" spans="1:5" ht="20.100000000000001" customHeight="1">
      <c r="A197" s="25">
        <v>37</v>
      </c>
      <c r="B197" s="9" t="s">
        <v>366</v>
      </c>
      <c r="C197" s="10" t="s">
        <v>556</v>
      </c>
      <c r="D197" s="13" t="s">
        <v>374</v>
      </c>
      <c r="E197" s="192">
        <v>237717.16666666599</v>
      </c>
    </row>
    <row r="198" spans="1:5" ht="20.100000000000001" customHeight="1">
      <c r="A198" s="25">
        <v>38</v>
      </c>
      <c r="B198" s="9" t="s">
        <v>367</v>
      </c>
      <c r="C198" s="10" t="s">
        <v>556</v>
      </c>
      <c r="D198" s="13" t="s">
        <v>386</v>
      </c>
      <c r="E198" s="192">
        <v>231733.83333333401</v>
      </c>
    </row>
    <row r="199" spans="1:5" ht="20.100000000000001" customHeight="1">
      <c r="A199" s="25">
        <v>39</v>
      </c>
      <c r="B199" s="9" t="s">
        <v>369</v>
      </c>
      <c r="C199" s="10" t="s">
        <v>556</v>
      </c>
      <c r="D199" s="13" t="s">
        <v>386</v>
      </c>
      <c r="E199" s="192">
        <v>231733.83333333401</v>
      </c>
    </row>
    <row r="200" spans="1:5" ht="20.100000000000001" customHeight="1">
      <c r="A200" s="25">
        <v>40</v>
      </c>
      <c r="B200" s="12" t="s">
        <v>370</v>
      </c>
      <c r="C200" s="10" t="s">
        <v>556</v>
      </c>
      <c r="D200" s="13" t="s">
        <v>386</v>
      </c>
      <c r="E200" s="192">
        <v>231733.83333333401</v>
      </c>
    </row>
    <row r="201" spans="1:5" ht="20.100000000000001" customHeight="1">
      <c r="A201" s="25">
        <v>41</v>
      </c>
      <c r="B201" s="9" t="s">
        <v>371</v>
      </c>
      <c r="C201" s="10" t="s">
        <v>556</v>
      </c>
      <c r="D201" s="13" t="s">
        <v>386</v>
      </c>
      <c r="E201" s="192">
        <v>231733.83333333401</v>
      </c>
    </row>
    <row r="202" spans="1:5" ht="20.100000000000001" customHeight="1">
      <c r="A202" s="25">
        <v>42</v>
      </c>
      <c r="B202" s="16" t="s">
        <v>372</v>
      </c>
      <c r="C202" s="10" t="s">
        <v>556</v>
      </c>
      <c r="D202" s="13" t="s">
        <v>386</v>
      </c>
      <c r="E202" s="884">
        <v>231733.83333333401</v>
      </c>
    </row>
    <row r="203" spans="1:5" ht="20.100000000000001" customHeight="1">
      <c r="A203" s="25">
        <v>43</v>
      </c>
      <c r="B203" s="16" t="s">
        <v>359</v>
      </c>
      <c r="C203" s="10" t="s">
        <v>556</v>
      </c>
      <c r="D203" s="13" t="s">
        <v>386</v>
      </c>
      <c r="E203" s="192">
        <v>231733.83333333401</v>
      </c>
    </row>
    <row r="204" spans="1:5" ht="20.100000000000001" customHeight="1">
      <c r="A204" s="25">
        <v>44</v>
      </c>
      <c r="B204" s="9" t="s">
        <v>373</v>
      </c>
      <c r="C204" s="10" t="s">
        <v>362</v>
      </c>
      <c r="D204" s="13" t="s">
        <v>582</v>
      </c>
      <c r="E204" s="70">
        <v>219767.33333333299</v>
      </c>
    </row>
    <row r="205" spans="1:5" ht="20.100000000000001" customHeight="1">
      <c r="A205" s="25">
        <v>45</v>
      </c>
      <c r="B205" s="9" t="s">
        <v>375</v>
      </c>
      <c r="C205" s="10" t="s">
        <v>362</v>
      </c>
      <c r="D205" s="13" t="s">
        <v>582</v>
      </c>
      <c r="E205" s="70">
        <v>219767.33333333299</v>
      </c>
    </row>
    <row r="206" spans="1:5" ht="20.100000000000001" customHeight="1">
      <c r="A206" s="25">
        <v>46</v>
      </c>
      <c r="B206" s="16" t="s">
        <v>376</v>
      </c>
      <c r="C206" s="10" t="s">
        <v>362</v>
      </c>
      <c r="D206" s="13" t="s">
        <v>379</v>
      </c>
      <c r="E206" s="70">
        <v>225750.58333333299</v>
      </c>
    </row>
    <row r="207" spans="1:5" ht="20.100000000000001" customHeight="1">
      <c r="A207" s="25">
        <v>47</v>
      </c>
      <c r="B207" s="9" t="s">
        <v>378</v>
      </c>
      <c r="C207" s="10" t="s">
        <v>389</v>
      </c>
      <c r="D207" s="13" t="s">
        <v>583</v>
      </c>
      <c r="E207" s="70">
        <v>213784</v>
      </c>
    </row>
    <row r="208" spans="1:5" ht="20.100000000000001" customHeight="1">
      <c r="A208" s="25">
        <v>48</v>
      </c>
      <c r="B208" s="9" t="s">
        <v>380</v>
      </c>
      <c r="C208" s="10" t="s">
        <v>558</v>
      </c>
      <c r="D208" s="13" t="s">
        <v>584</v>
      </c>
      <c r="E208" s="70">
        <v>146356.75</v>
      </c>
    </row>
    <row r="209" spans="1:5" ht="20.100000000000001" customHeight="1">
      <c r="A209" s="25">
        <v>49</v>
      </c>
      <c r="B209" s="9" t="s">
        <v>381</v>
      </c>
      <c r="C209" s="10" t="s">
        <v>558</v>
      </c>
      <c r="D209" s="13" t="s">
        <v>584</v>
      </c>
      <c r="E209" s="70">
        <v>146356.75</v>
      </c>
    </row>
    <row r="210" spans="1:5" ht="20.100000000000001" customHeight="1">
      <c r="A210" s="25">
        <v>50</v>
      </c>
      <c r="B210" s="9" t="s">
        <v>382</v>
      </c>
      <c r="C210" s="10" t="s">
        <v>558</v>
      </c>
      <c r="D210" s="13" t="s">
        <v>584</v>
      </c>
      <c r="E210" s="70">
        <v>146356.75</v>
      </c>
    </row>
    <row r="211" spans="1:5" ht="20.100000000000001" customHeight="1">
      <c r="A211" s="25">
        <v>51</v>
      </c>
      <c r="B211" s="9" t="s">
        <v>383</v>
      </c>
      <c r="C211" s="10" t="s">
        <v>558</v>
      </c>
      <c r="D211" s="13" t="s">
        <v>584</v>
      </c>
      <c r="E211" s="70">
        <v>146356.75</v>
      </c>
    </row>
    <row r="212" spans="1:5" ht="20.100000000000001" customHeight="1">
      <c r="A212" s="25">
        <v>52</v>
      </c>
      <c r="B212" s="9" t="s">
        <v>384</v>
      </c>
      <c r="C212" s="10" t="s">
        <v>558</v>
      </c>
      <c r="D212" s="13" t="s">
        <v>584</v>
      </c>
      <c r="E212" s="70">
        <v>146356.75</v>
      </c>
    </row>
    <row r="213" spans="1:5" ht="20.100000000000001" customHeight="1">
      <c r="A213" s="25">
        <v>53</v>
      </c>
      <c r="B213" s="16" t="s">
        <v>385</v>
      </c>
      <c r="C213" s="10" t="s">
        <v>558</v>
      </c>
      <c r="D213" s="13" t="s">
        <v>584</v>
      </c>
      <c r="E213" s="70">
        <v>146356.75</v>
      </c>
    </row>
    <row r="214" spans="1:5" ht="20.100000000000001" customHeight="1">
      <c r="A214" s="25">
        <v>54</v>
      </c>
      <c r="B214" s="16" t="s">
        <v>387</v>
      </c>
      <c r="C214" s="10" t="s">
        <v>558</v>
      </c>
      <c r="D214" s="13" t="s">
        <v>584</v>
      </c>
      <c r="E214" s="70">
        <v>146356.75</v>
      </c>
    </row>
    <row r="215" spans="1:5" ht="20.100000000000001" customHeight="1">
      <c r="A215" s="25">
        <v>56</v>
      </c>
      <c r="B215" s="9" t="s">
        <v>388</v>
      </c>
      <c r="C215" s="10" t="s">
        <v>389</v>
      </c>
      <c r="D215" s="13" t="s">
        <v>584</v>
      </c>
      <c r="E215" s="70">
        <v>146356.75</v>
      </c>
    </row>
    <row r="216" spans="1:5" ht="20.100000000000001" customHeight="1">
      <c r="A216" s="25">
        <v>57</v>
      </c>
      <c r="B216" s="16" t="s">
        <v>360</v>
      </c>
      <c r="C216" s="10" t="s">
        <v>392</v>
      </c>
      <c r="D216" s="13" t="s">
        <v>645</v>
      </c>
      <c r="E216" s="70">
        <v>143495.66666666701</v>
      </c>
    </row>
    <row r="217" spans="1:5" ht="20.100000000000001" customHeight="1">
      <c r="A217" s="25">
        <v>58</v>
      </c>
      <c r="B217" s="16" t="s">
        <v>391</v>
      </c>
      <c r="C217" s="10" t="s">
        <v>392</v>
      </c>
      <c r="D217" s="13" t="s">
        <v>395</v>
      </c>
      <c r="E217" s="70">
        <v>137773.5</v>
      </c>
    </row>
    <row r="218" spans="1:5" ht="20.100000000000001" customHeight="1">
      <c r="A218" s="25">
        <v>59</v>
      </c>
      <c r="B218" s="16" t="s">
        <v>394</v>
      </c>
      <c r="C218" s="10" t="s">
        <v>392</v>
      </c>
      <c r="D218" s="13" t="s">
        <v>397</v>
      </c>
      <c r="E218" s="70">
        <v>134912.66666666701</v>
      </c>
    </row>
    <row r="219" spans="1:5" ht="20.100000000000001" customHeight="1">
      <c r="A219" s="25">
        <v>60</v>
      </c>
      <c r="B219" s="16" t="s">
        <v>398</v>
      </c>
      <c r="C219" s="10" t="s">
        <v>399</v>
      </c>
      <c r="D219" s="13" t="s">
        <v>585</v>
      </c>
      <c r="E219" s="70">
        <v>129049.41666666701</v>
      </c>
    </row>
    <row r="220" spans="1:5" ht="20.100000000000001" customHeight="1">
      <c r="A220" s="25">
        <v>61</v>
      </c>
      <c r="B220" s="16" t="s">
        <v>401</v>
      </c>
      <c r="C220" s="10" t="s">
        <v>399</v>
      </c>
      <c r="D220" s="13" t="s">
        <v>585</v>
      </c>
      <c r="E220" s="70">
        <v>129049.41666666701</v>
      </c>
    </row>
    <row r="221" spans="1:5" ht="20.100000000000001" customHeight="1">
      <c r="A221" s="25">
        <v>62</v>
      </c>
      <c r="B221" s="16" t="s">
        <v>402</v>
      </c>
      <c r="C221" s="10" t="s">
        <v>399</v>
      </c>
      <c r="D221" s="13" t="s">
        <v>585</v>
      </c>
      <c r="E221" s="70">
        <v>129049.41666666701</v>
      </c>
    </row>
    <row r="222" spans="1:5" ht="20.100000000000001" customHeight="1">
      <c r="A222" s="25">
        <v>63</v>
      </c>
      <c r="B222" s="16" t="s">
        <v>403</v>
      </c>
      <c r="C222" s="10" t="s">
        <v>404</v>
      </c>
      <c r="D222" s="13" t="s">
        <v>393</v>
      </c>
      <c r="E222" s="70">
        <v>140634.66666666701</v>
      </c>
    </row>
    <row r="223" spans="1:5" ht="20.100000000000001" customHeight="1">
      <c r="A223" s="25">
        <v>64</v>
      </c>
      <c r="B223" s="16" t="s">
        <v>406</v>
      </c>
      <c r="C223" s="10" t="s">
        <v>404</v>
      </c>
      <c r="D223" s="13" t="s">
        <v>393</v>
      </c>
      <c r="E223" s="70">
        <v>140634.66666666701</v>
      </c>
    </row>
    <row r="224" spans="1:5" ht="30.75" customHeight="1">
      <c r="A224" s="25"/>
      <c r="B224" s="6" t="s">
        <v>120</v>
      </c>
      <c r="C224" s="26" t="s">
        <v>885</v>
      </c>
      <c r="D224" s="27"/>
      <c r="E224" s="78">
        <f>SUM(E160:E223)</f>
        <v>20743144.333333399</v>
      </c>
    </row>
    <row r="225" spans="1:5" ht="30" customHeight="1">
      <c r="A225" s="2"/>
      <c r="B225" s="28" t="s">
        <v>408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88497829.333333299</v>
      </c>
    </row>
    <row r="226" spans="1:5" ht="38.25" customHeight="1">
      <c r="B226" s="31"/>
      <c r="D226" s="32"/>
      <c r="E226" s="32"/>
    </row>
    <row r="227" spans="1:5" ht="36.75" customHeight="1">
      <c r="B227" s="31"/>
      <c r="C227" s="32"/>
      <c r="D227" s="32"/>
      <c r="E227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D35" activePane="bottomRight" state="frozen"/>
      <selection pane="topRight"/>
      <selection pane="bottomLeft"/>
      <selection pane="bottomRight" activeCell="K108" sqref="K10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157" t="s">
        <v>0</v>
      </c>
      <c r="B1" s="1157"/>
      <c r="C1" s="1157"/>
      <c r="D1" s="1157"/>
      <c r="E1" s="1157"/>
      <c r="F1" s="1158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666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184" t="s">
        <v>589</v>
      </c>
      <c r="H4" s="184" t="s">
        <v>590</v>
      </c>
      <c r="I4" s="184" t="s">
        <v>591</v>
      </c>
      <c r="J4" s="858" t="s">
        <v>592</v>
      </c>
      <c r="K4" s="858" t="s">
        <v>593</v>
      </c>
      <c r="L4" s="858" t="s">
        <v>594</v>
      </c>
      <c r="M4" s="858" t="s">
        <v>595</v>
      </c>
      <c r="N4" s="858" t="s">
        <v>596</v>
      </c>
      <c r="O4" s="858" t="s">
        <v>572</v>
      </c>
      <c r="P4" s="858" t="s">
        <v>597</v>
      </c>
      <c r="Q4" s="858" t="s">
        <v>598</v>
      </c>
    </row>
    <row r="5" spans="1:17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67" t="s">
        <v>21</v>
      </c>
    </row>
    <row r="6" spans="1:17" ht="17.25" customHeight="1">
      <c r="A6" s="2"/>
      <c r="B6" s="2"/>
      <c r="C6" s="6"/>
      <c r="D6" s="6"/>
      <c r="E6" s="8" t="s">
        <v>599</v>
      </c>
      <c r="F6" s="852" t="s">
        <v>600</v>
      </c>
      <c r="G6" s="8" t="s">
        <v>601</v>
      </c>
      <c r="H6" s="8" t="s">
        <v>602</v>
      </c>
      <c r="I6" s="859" t="s">
        <v>603</v>
      </c>
      <c r="J6" s="859" t="s">
        <v>604</v>
      </c>
      <c r="K6" s="859" t="s">
        <v>605</v>
      </c>
      <c r="L6" s="859" t="s">
        <v>606</v>
      </c>
      <c r="M6" s="859" t="s">
        <v>607</v>
      </c>
      <c r="N6" s="859" t="s">
        <v>608</v>
      </c>
      <c r="O6" s="859" t="s">
        <v>609</v>
      </c>
      <c r="P6" s="859" t="s">
        <v>610</v>
      </c>
      <c r="Q6" s="859" t="s">
        <v>611</v>
      </c>
    </row>
    <row r="7" spans="1:17" ht="20.100000000000001" customHeight="1">
      <c r="A7" s="7" t="s">
        <v>22</v>
      </c>
      <c r="B7" s="6" t="s">
        <v>23</v>
      </c>
      <c r="C7" s="6"/>
      <c r="D7" s="6"/>
      <c r="E7" s="8"/>
      <c r="F7" s="852"/>
      <c r="G7" s="8"/>
      <c r="H7" s="8" t="s">
        <v>612</v>
      </c>
      <c r="I7" s="8" t="s">
        <v>613</v>
      </c>
      <c r="J7" s="859" t="s">
        <v>614</v>
      </c>
      <c r="K7" s="859" t="s">
        <v>615</v>
      </c>
      <c r="L7" s="859" t="s">
        <v>616</v>
      </c>
      <c r="M7" s="859"/>
      <c r="N7" s="859" t="s">
        <v>617</v>
      </c>
      <c r="O7" s="859" t="s">
        <v>618</v>
      </c>
      <c r="P7" s="859" t="s">
        <v>618</v>
      </c>
      <c r="Q7" s="859" t="s">
        <v>618</v>
      </c>
    </row>
    <row r="8" spans="1:17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34</v>
      </c>
      <c r="C12" s="10" t="s">
        <v>35</v>
      </c>
      <c r="D12" s="13" t="s">
        <v>209</v>
      </c>
      <c r="E12" s="70">
        <v>716034</v>
      </c>
      <c r="F12" s="853">
        <f>'[3] FGN 2024 MGT Monthly'!$I$44</f>
        <v>539028</v>
      </c>
      <c r="G12" s="70">
        <f>'[3]Peculiar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60">
        <v>59136.286666666703</v>
      </c>
      <c r="K12" s="860">
        <f t="shared" si="3"/>
        <v>70320.713333333348</v>
      </c>
      <c r="L12" s="860">
        <f t="shared" si="0"/>
        <v>11184.426666666644</v>
      </c>
      <c r="M12" s="860">
        <v>10293.3979166667</v>
      </c>
      <c r="N12" s="860">
        <f>0.025*F12</f>
        <v>13475.7</v>
      </c>
      <c r="O12" s="860">
        <f t="shared" si="4"/>
        <v>3182.3020833333012</v>
      </c>
      <c r="P12" s="860">
        <f t="shared" si="5"/>
        <v>843848.56000000017</v>
      </c>
      <c r="Q12" s="860">
        <f t="shared" si="6"/>
        <v>161708.40000000002</v>
      </c>
    </row>
    <row r="13" spans="1:17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>
      <c r="A39" s="8"/>
      <c r="B39" s="18" t="s">
        <v>120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</v>
      </c>
      <c r="K39" s="187">
        <f t="shared" si="9"/>
        <v>1153420.5533333337</v>
      </c>
      <c r="L39" s="187">
        <f t="shared" si="9"/>
        <v>238607.23333333354</v>
      </c>
      <c r="M39" s="187">
        <f t="shared" si="9"/>
        <v>48931.972916666702</v>
      </c>
      <c r="N39" s="187">
        <f t="shared" si="9"/>
        <v>102666.25624999999</v>
      </c>
      <c r="O39" s="187">
        <f t="shared" si="9"/>
        <v>53734.283333333267</v>
      </c>
      <c r="P39" s="187">
        <f t="shared" si="9"/>
        <v>13841046.639999995</v>
      </c>
      <c r="Q39" s="187">
        <f t="shared" si="9"/>
        <v>1231995.0750000002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121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137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120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157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120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163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120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182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120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204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120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226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120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239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246</v>
      </c>
      <c r="C108" s="2" t="s">
        <v>629</v>
      </c>
      <c r="D108" s="8" t="s">
        <v>574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120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120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268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120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120</v>
      </c>
      <c r="C136" s="24" t="s">
        <v>634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301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120</v>
      </c>
      <c r="C199" s="26" t="s">
        <v>646</v>
      </c>
      <c r="D199" s="27"/>
      <c r="E199" s="78">
        <f t="shared" ref="E199:Q199" si="69">SUM(E139:E198)</f>
        <v>14787756.9166667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4466505.3333333302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49056821.999999985</v>
      </c>
      <c r="G200" s="193">
        <f t="shared" si="70"/>
        <v>29017396.499999985</v>
      </c>
      <c r="H200" s="193">
        <f t="shared" si="70"/>
        <v>78074218.49999997</v>
      </c>
      <c r="I200" s="868">
        <f t="shared" si="70"/>
        <v>15379366.166333299</v>
      </c>
      <c r="J200" s="193">
        <f t="shared" si="70"/>
        <v>4754163.5599999996</v>
      </c>
      <c r="K200" s="193">
        <f t="shared" si="70"/>
        <v>6015821.9733333336</v>
      </c>
      <c r="L200" s="868">
        <f t="shared" si="70"/>
        <v>1261658.4133333319</v>
      </c>
      <c r="M200" s="193">
        <f t="shared" si="70"/>
        <v>267480.25624999998</v>
      </c>
      <c r="N200" s="193">
        <f t="shared" si="70"/>
        <v>513039.26875000005</v>
      </c>
      <c r="O200" s="868">
        <f t="shared" si="70"/>
        <v>245559.01249999975</v>
      </c>
      <c r="P200" s="193">
        <f t="shared" si="70"/>
        <v>72189863.679999992</v>
      </c>
      <c r="Q200" s="193">
        <f t="shared" si="70"/>
        <v>5757905.4499999983</v>
      </c>
    </row>
    <row r="201" spans="1:17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649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54402916.833333313</v>
      </c>
      <c r="G202" s="193">
        <f t="shared" si="71"/>
        <v>32040283.916666657</v>
      </c>
      <c r="H202" s="193">
        <f t="shared" si="71"/>
        <v>86443200.74999997</v>
      </c>
      <c r="I202" s="193">
        <f t="shared" si="71"/>
        <v>17184619.166333299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1406078.6533333319</v>
      </c>
      <c r="M202" s="193">
        <f t="shared" si="71"/>
        <v>267480.25624999998</v>
      </c>
      <c r="N202" s="193">
        <f t="shared" si="71"/>
        <v>513039.26875000005</v>
      </c>
      <c r="O202" s="193">
        <f t="shared" si="71"/>
        <v>245559.01249999975</v>
      </c>
      <c r="P202" s="193">
        <f t="shared" si="71"/>
        <v>72189863.679999992</v>
      </c>
      <c r="Q202" s="193">
        <f t="shared" si="71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C161" workbookViewId="0">
      <selection activeCell="C173" sqref="C17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871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871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871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872" t="s">
        <v>677</v>
      </c>
      <c r="AA4" s="420" t="s">
        <v>481</v>
      </c>
      <c r="AB4" s="434" t="s">
        <v>678</v>
      </c>
    </row>
    <row r="5" spans="1:31" ht="15.75">
      <c r="A5" s="421">
        <v>1</v>
      </c>
      <c r="B5" s="6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24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27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30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32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34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</v>
      </c>
      <c r="M10" s="424">
        <f t="shared" si="3"/>
        <v>2450497.682</v>
      </c>
      <c r="N10" s="424">
        <f t="shared" si="4"/>
        <v>3426116.2719999999</v>
      </c>
      <c r="O10" s="424">
        <f t="shared" si="5"/>
        <v>8801990.7280000001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1344477.7747200001</v>
      </c>
      <c r="V10" s="424">
        <f t="shared" si="12"/>
        <v>1904477.7747200001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29011.785999999702</v>
      </c>
      <c r="AC10" s="436"/>
      <c r="AD10" s="436"/>
      <c r="AE10" s="436"/>
    </row>
    <row r="11" spans="1:31" ht="15.75">
      <c r="A11" s="421">
        <v>8</v>
      </c>
      <c r="B11" s="597" t="s">
        <v>37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40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43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45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48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51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54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57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60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62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65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68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71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73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76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483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82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84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87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95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103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106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122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127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129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133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137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138</v>
      </c>
      <c r="C45" s="422">
        <v>1847612</v>
      </c>
      <c r="D45" s="423">
        <v>12</v>
      </c>
      <c r="E45" s="424">
        <f t="shared" ref="E45:E52" si="33">C45*D45</f>
        <v>22171344</v>
      </c>
      <c r="F45" s="424"/>
      <c r="G45" s="425">
        <v>869094.48</v>
      </c>
      <c r="H45" s="424"/>
      <c r="I45" s="424">
        <f t="shared" ref="I45:I52" si="34">E45-F45-G45-H45</f>
        <v>21302249.52</v>
      </c>
      <c r="J45" s="424">
        <v>200000</v>
      </c>
      <c r="K45" s="424">
        <v>0.2</v>
      </c>
      <c r="L45" s="424">
        <f t="shared" ref="L45:L52" si="35">I45*K45</f>
        <v>4260449.9040000001</v>
      </c>
      <c r="M45" s="424">
        <f t="shared" ref="M45:M52" si="36">J45+L45</f>
        <v>4460449.9040000001</v>
      </c>
      <c r="N45" s="424">
        <f t="shared" ref="N45:N52" si="37">F45+G45+H45+M45</f>
        <v>5329544.3839999996</v>
      </c>
      <c r="O45" s="424">
        <f t="shared" ref="O45:O52" si="38">E45-N45</f>
        <v>16841799.616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4">P45+Q45+R45+S45+T45+U45</f>
        <v>3834031.90784</v>
      </c>
      <c r="W45" s="431">
        <v>12</v>
      </c>
      <c r="X45" s="424">
        <f t="shared" ref="X45:X52" si="45">V45/W45</f>
        <v>319502.658986667</v>
      </c>
      <c r="Y45" s="424"/>
      <c r="Z45" s="873">
        <f t="shared" ref="Z45:Z52" si="46">X45</f>
        <v>319502.658986667</v>
      </c>
      <c r="AA45" s="753">
        <v>162999.59</v>
      </c>
      <c r="AB45" s="753">
        <f t="shared" si="32"/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141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3"/>
        <v>11620320</v>
      </c>
      <c r="F47" s="427"/>
      <c r="G47" s="425"/>
      <c r="H47" s="427"/>
      <c r="I47" s="424">
        <f t="shared" si="34"/>
        <v>11620320</v>
      </c>
      <c r="J47" s="424">
        <v>200000</v>
      </c>
      <c r="K47" s="424">
        <v>0.2</v>
      </c>
      <c r="L47" s="424">
        <f t="shared" si="35"/>
        <v>2324064</v>
      </c>
      <c r="M47" s="424">
        <f t="shared" si="36"/>
        <v>2524064</v>
      </c>
      <c r="N47" s="424">
        <f t="shared" si="37"/>
        <v>2524064</v>
      </c>
      <c r="O47" s="424">
        <f t="shared" si="38"/>
        <v>9096256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1415101.4399999999</v>
      </c>
      <c r="V47" s="424">
        <f t="shared" si="44"/>
        <v>1975101.4399999999</v>
      </c>
      <c r="W47" s="431">
        <v>12</v>
      </c>
      <c r="X47" s="424">
        <f t="shared" si="45"/>
        <v>164591.786666667</v>
      </c>
      <c r="Y47" s="427"/>
      <c r="Z47" s="873">
        <f t="shared" si="46"/>
        <v>164591.786666667</v>
      </c>
      <c r="AA47" s="753">
        <v>118861.965706667</v>
      </c>
      <c r="AB47" s="753">
        <f t="shared" si="32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241363.12320000201</v>
      </c>
      <c r="V50" s="424">
        <f t="shared" si="44"/>
        <v>801363.12320000201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155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157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158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5.75">
      <c r="A56" s="421">
        <v>48</v>
      </c>
      <c r="B56" s="597" t="s">
        <v>160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163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164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5.75">
      <c r="A62" s="421">
        <v>53</v>
      </c>
      <c r="B62" s="313" t="s">
        <v>171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182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183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187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189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196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200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202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205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207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210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211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212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213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215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216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220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224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226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227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4"/>
        <v>10443441</v>
      </c>
      <c r="F90" s="424"/>
      <c r="G90" s="425">
        <v>550954.64</v>
      </c>
      <c r="H90" s="427"/>
      <c r="I90" s="424">
        <f t="shared" si="95"/>
        <v>9892486.3599999994</v>
      </c>
      <c r="J90" s="424">
        <v>200000</v>
      </c>
      <c r="K90" s="424">
        <v>0.2</v>
      </c>
      <c r="L90" s="424">
        <f t="shared" si="96"/>
        <v>1978497.2720000001</v>
      </c>
      <c r="M90" s="424">
        <f t="shared" si="97"/>
        <v>2178497.2719999999</v>
      </c>
      <c r="N90" s="424">
        <f t="shared" si="98"/>
        <v>2729451.912</v>
      </c>
      <c r="O90" s="424">
        <f t="shared" si="99"/>
        <v>7713989.0880000005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1083357.38112</v>
      </c>
      <c r="V90" s="424">
        <f t="shared" si="106"/>
        <v>1643357.38112</v>
      </c>
      <c r="W90" s="431">
        <v>12</v>
      </c>
      <c r="X90" s="424">
        <f t="shared" si="107"/>
        <v>136946.44842666699</v>
      </c>
      <c r="Y90" s="427"/>
      <c r="Z90" s="873">
        <f t="shared" si="108"/>
        <v>136946.44842666699</v>
      </c>
      <c r="AA90" s="753">
        <v>72764.420906666695</v>
      </c>
      <c r="AB90" s="753">
        <f t="shared" si="78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628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09"/>
        <v>8905027.7400000002</v>
      </c>
      <c r="F98" s="424">
        <v>101319.25</v>
      </c>
      <c r="G98" s="425">
        <v>519697.27999999898</v>
      </c>
      <c r="H98" s="427"/>
      <c r="I98" s="424">
        <f t="shared" si="110"/>
        <v>8284011.21</v>
      </c>
      <c r="J98" s="424">
        <v>200000</v>
      </c>
      <c r="K98" s="424">
        <v>0.2</v>
      </c>
      <c r="L98" s="424">
        <f t="shared" si="111"/>
        <v>1656802.2420000001</v>
      </c>
      <c r="M98" s="424">
        <f t="shared" si="112"/>
        <v>1856802.2420000001</v>
      </c>
      <c r="N98" s="424">
        <f t="shared" si="113"/>
        <v>2477818.7719999999</v>
      </c>
      <c r="O98" s="424">
        <f t="shared" si="114"/>
        <v>6427208.9680000003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774530.15231999999</v>
      </c>
      <c r="V98" s="424">
        <f t="shared" si="121"/>
        <v>1334530.1523200001</v>
      </c>
      <c r="W98" s="431">
        <v>12</v>
      </c>
      <c r="X98" s="424">
        <f t="shared" si="122"/>
        <v>111210.846026667</v>
      </c>
      <c r="Y98" s="427"/>
      <c r="Z98" s="873">
        <f t="shared" si="123"/>
        <v>111210.846026667</v>
      </c>
      <c r="AA98" s="753">
        <v>87575.782703466699</v>
      </c>
      <c r="AB98" s="753">
        <f t="shared" si="78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197411.93280000001</v>
      </c>
      <c r="V100" s="424">
        <f t="shared" si="121"/>
        <v>757411.93279999995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09"/>
        <v>5601022.3499999996</v>
      </c>
      <c r="F101" s="424"/>
      <c r="G101" s="425">
        <v>317190.799999999</v>
      </c>
      <c r="H101" s="427"/>
      <c r="I101" s="424">
        <f t="shared" si="110"/>
        <v>5283831.55</v>
      </c>
      <c r="J101" s="424">
        <v>200000</v>
      </c>
      <c r="K101" s="424">
        <v>0.2</v>
      </c>
      <c r="L101" s="424">
        <f t="shared" si="111"/>
        <v>1056766.31</v>
      </c>
      <c r="M101" s="424">
        <f t="shared" si="112"/>
        <v>1256766.31</v>
      </c>
      <c r="N101" s="424">
        <f t="shared" si="113"/>
        <v>1573957.11</v>
      </c>
      <c r="O101" s="424">
        <f t="shared" si="114"/>
        <v>4027065.24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198495.65760000001</v>
      </c>
      <c r="V101" s="424">
        <f t="shared" si="121"/>
        <v>758495.65760000004</v>
      </c>
      <c r="W101" s="431">
        <v>12</v>
      </c>
      <c r="X101" s="424">
        <f t="shared" si="122"/>
        <v>63207.971466666699</v>
      </c>
      <c r="Y101" s="427"/>
      <c r="Z101" s="873">
        <f t="shared" si="123"/>
        <v>63207.971466666699</v>
      </c>
      <c r="AA101" s="753">
        <v>87883.38</v>
      </c>
      <c r="AB101" s="753">
        <f t="shared" si="78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707505.81247999996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484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192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679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273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1"/>
        <v>13188107</v>
      </c>
      <c r="F117" s="424">
        <v>157015.95000000001</v>
      </c>
      <c r="G117" s="425">
        <v>818602.63999999897</v>
      </c>
      <c r="H117" s="427"/>
      <c r="I117" s="424">
        <f t="shared" si="142"/>
        <v>12212488.41</v>
      </c>
      <c r="J117" s="424">
        <v>200000</v>
      </c>
      <c r="K117" s="424">
        <v>0.2</v>
      </c>
      <c r="L117" s="424">
        <f t="shared" si="143"/>
        <v>2442497.682</v>
      </c>
      <c r="M117" s="424">
        <f t="shared" si="144"/>
        <v>2642497.682</v>
      </c>
      <c r="N117" s="424">
        <f t="shared" si="145"/>
        <v>3618116.2719999999</v>
      </c>
      <c r="O117" s="424">
        <f t="shared" si="146"/>
        <v>9569990.7280000001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1528797.7747200001</v>
      </c>
      <c r="V117" s="424">
        <f t="shared" si="153"/>
        <v>2088797.7747200001</v>
      </c>
      <c r="W117" s="431">
        <v>12</v>
      </c>
      <c r="X117" s="424">
        <f t="shared" si="154"/>
        <v>174066.48122666701</v>
      </c>
      <c r="Y117" s="427"/>
      <c r="Z117" s="873">
        <f t="shared" si="155"/>
        <v>174066.48122666701</v>
      </c>
      <c r="AA117" s="753">
        <v>145172.65</v>
      </c>
      <c r="AB117" s="753">
        <f t="shared" si="140"/>
        <v>28893.831226666702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120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56"/>
        <v>5014865.6493333196</v>
      </c>
      <c r="F142" s="424"/>
      <c r="G142" s="425">
        <v>333135.52</v>
      </c>
      <c r="H142" s="427"/>
      <c r="I142" s="424">
        <f t="shared" si="157"/>
        <v>4681730.1293333201</v>
      </c>
      <c r="J142" s="424">
        <v>200000</v>
      </c>
      <c r="K142" s="424">
        <v>0.2</v>
      </c>
      <c r="L142" s="424">
        <f t="shared" si="158"/>
        <v>936346.02586666495</v>
      </c>
      <c r="M142" s="424">
        <f t="shared" si="159"/>
        <v>1136346.0258666601</v>
      </c>
      <c r="N142" s="424">
        <f t="shared" si="160"/>
        <v>1469481.5458666601</v>
      </c>
      <c r="O142" s="424">
        <f t="shared" si="161"/>
        <v>3545384.1034666598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82892.184831998195</v>
      </c>
      <c r="V142" s="424">
        <f t="shared" si="168"/>
        <v>642892.18483199796</v>
      </c>
      <c r="W142" s="431">
        <v>12</v>
      </c>
      <c r="X142" s="424">
        <f t="shared" si="169"/>
        <v>53574.348735999803</v>
      </c>
      <c r="Y142" s="427"/>
      <c r="Z142" s="873">
        <f t="shared" si="170"/>
        <v>53574.348735999803</v>
      </c>
      <c r="AA142" s="753">
        <v>37921.500586666698</v>
      </c>
      <c r="AB142" s="753">
        <f t="shared" si="171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157684.193280001</v>
      </c>
      <c r="V143" s="424">
        <f t="shared" si="168"/>
        <v>717684.19328000105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995720.27800000098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139891.46688000101</v>
      </c>
      <c r="V145" s="424">
        <f t="shared" si="168"/>
        <v>699891.46688000101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56"/>
        <v>4327775.0493333396</v>
      </c>
      <c r="F154" s="424"/>
      <c r="G154" s="425">
        <v>283104.8</v>
      </c>
      <c r="H154" s="427"/>
      <c r="I154" s="424">
        <f t="shared" si="157"/>
        <v>4044670.2493333402</v>
      </c>
      <c r="J154" s="424">
        <v>200000</v>
      </c>
      <c r="K154" s="424">
        <v>0.2</v>
      </c>
      <c r="L154" s="424">
        <f t="shared" si="158"/>
        <v>808934.04986666702</v>
      </c>
      <c r="M154" s="424">
        <f t="shared" si="159"/>
        <v>1008934.04986667</v>
      </c>
      <c r="N154" s="424">
        <f t="shared" si="160"/>
        <v>1292038.8498666701</v>
      </c>
      <c r="O154" s="424">
        <f t="shared" si="161"/>
        <v>3035736.1994666699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301504.60188799998</v>
      </c>
      <c r="U154" s="424"/>
      <c r="V154" s="424">
        <f t="shared" si="168"/>
        <v>525504.60188800003</v>
      </c>
      <c r="W154" s="431">
        <v>12</v>
      </c>
      <c r="X154" s="424">
        <f t="shared" si="169"/>
        <v>43792.050157333397</v>
      </c>
      <c r="Y154" s="427"/>
      <c r="Z154" s="873">
        <f t="shared" si="170"/>
        <v>43792.050157333397</v>
      </c>
      <c r="AA154" s="753">
        <v>29305.1955466666</v>
      </c>
      <c r="AB154" s="753">
        <f t="shared" si="171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361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364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642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365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366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367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369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370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371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372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359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373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375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376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378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380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381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382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383</v>
      </c>
      <c r="C174" s="882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384</v>
      </c>
      <c r="C175" s="882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385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387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644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388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360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391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394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5.75">
      <c r="A183" s="421">
        <v>167</v>
      </c>
      <c r="B183" s="313" t="s">
        <v>398</v>
      </c>
      <c r="C183" s="753">
        <v>157279.03333333301</v>
      </c>
      <c r="D183" s="423">
        <v>12</v>
      </c>
      <c r="E183" s="424">
        <f t="shared" si="156"/>
        <v>1887348.4</v>
      </c>
      <c r="F183" s="574"/>
      <c r="G183" s="425">
        <v>123887.44</v>
      </c>
      <c r="I183" s="424">
        <f t="shared" si="157"/>
        <v>1763460.96</v>
      </c>
      <c r="J183" s="424">
        <v>200000</v>
      </c>
      <c r="K183" s="424">
        <v>0.2</v>
      </c>
      <c r="L183" s="424">
        <f t="shared" si="158"/>
        <v>352692.19199999899</v>
      </c>
      <c r="M183" s="424">
        <f t="shared" si="159"/>
        <v>552692.19199999899</v>
      </c>
      <c r="N183" s="424">
        <f t="shared" si="160"/>
        <v>676579.63199999905</v>
      </c>
      <c r="O183" s="424">
        <f t="shared" si="161"/>
        <v>1210768.7679999999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21046.065919999401</v>
      </c>
      <c r="T183" s="424">
        <f t="shared" si="174"/>
        <v>0</v>
      </c>
      <c r="V183" s="424">
        <f t="shared" si="168"/>
        <v>150046.065919999</v>
      </c>
      <c r="W183" s="431">
        <v>12</v>
      </c>
      <c r="X183" s="424">
        <f t="shared" si="169"/>
        <v>12503.838826666601</v>
      </c>
      <c r="Z183" s="873">
        <f t="shared" si="170"/>
        <v>12503.838826666601</v>
      </c>
      <c r="AA183" s="753">
        <v>5230.0987999999998</v>
      </c>
      <c r="AB183" s="753">
        <f t="shared" si="173"/>
        <v>7273.74002666662</v>
      </c>
    </row>
    <row r="184" spans="1:28" ht="15.75">
      <c r="A184" s="421">
        <v>168</v>
      </c>
      <c r="B184" s="313" t="s">
        <v>401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402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403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406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120</v>
      </c>
      <c r="W188" s="572"/>
      <c r="X188" s="877">
        <f>SUM(X6:X187)</f>
        <v>13880120.2985</v>
      </c>
      <c r="Y188" s="877"/>
      <c r="Z188" s="879">
        <f>SUM(Z6:Z187)</f>
        <v>13880120.2985</v>
      </c>
      <c r="AA188" s="879">
        <f>SUM(AA6:AA187)</f>
        <v>10905235.836174799</v>
      </c>
      <c r="AB188" s="880">
        <f>SUM(AB6:AB187)</f>
        <v>2974884.4623251702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19" activePane="bottomRight" state="frozen"/>
      <selection pane="topRight"/>
      <selection pane="bottomLeft"/>
      <selection pane="bottomRight" activeCell="H22" sqref="H2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1157" t="s">
        <v>0</v>
      </c>
      <c r="B1" s="1157"/>
      <c r="C1" s="1157"/>
      <c r="D1" s="1157"/>
      <c r="E1" s="1157"/>
      <c r="F1" s="1158"/>
      <c r="G1" s="183"/>
      <c r="H1" s="183"/>
      <c r="I1" s="183"/>
      <c r="J1" s="183"/>
    </row>
    <row r="2" spans="1:10" ht="33.75" customHeight="1">
      <c r="A2" s="843" t="s">
        <v>666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858" t="s">
        <v>595</v>
      </c>
      <c r="H4" s="858" t="s">
        <v>596</v>
      </c>
      <c r="I4" s="858" t="s">
        <v>572</v>
      </c>
      <c r="J4" s="858" t="s">
        <v>598</v>
      </c>
    </row>
    <row r="5" spans="1:10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</row>
    <row r="6" spans="1:10" ht="17.25" customHeight="1">
      <c r="A6" s="2"/>
      <c r="B6" s="2"/>
      <c r="C6" s="6"/>
      <c r="D6" s="6"/>
      <c r="E6" s="8" t="s">
        <v>599</v>
      </c>
      <c r="F6" s="852" t="s">
        <v>600</v>
      </c>
      <c r="G6" s="859" t="s">
        <v>607</v>
      </c>
      <c r="H6" s="859" t="s">
        <v>608</v>
      </c>
      <c r="I6" s="859" t="s">
        <v>609</v>
      </c>
      <c r="J6" s="859" t="s">
        <v>611</v>
      </c>
    </row>
    <row r="7" spans="1:10" ht="20.100000000000001" customHeight="1">
      <c r="A7" s="7" t="s">
        <v>22</v>
      </c>
      <c r="B7" s="6" t="s">
        <v>23</v>
      </c>
      <c r="C7" s="6"/>
      <c r="D7" s="6"/>
      <c r="E7" s="8"/>
      <c r="F7" s="852"/>
      <c r="G7" s="859"/>
      <c r="H7" s="859" t="s">
        <v>617</v>
      </c>
      <c r="I7" s="859" t="s">
        <v>618</v>
      </c>
      <c r="J7" s="859" t="s">
        <v>618</v>
      </c>
    </row>
    <row r="8" spans="1:10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34</v>
      </c>
      <c r="C12" s="10" t="s">
        <v>35</v>
      </c>
      <c r="D12" s="13" t="s">
        <v>578</v>
      </c>
      <c r="E12" s="70">
        <v>716034</v>
      </c>
      <c r="F12" s="853">
        <f>'[4]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3290.2645833332999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98713.475000000006</v>
      </c>
    </row>
    <row r="20" spans="1:10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120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67587.004166666593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121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137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120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157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120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163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120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182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120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204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120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226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120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239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120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120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268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120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120</v>
      </c>
      <c r="C136" s="24" t="s">
        <v>634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301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120</v>
      </c>
      <c r="C199" s="26" t="s">
        <v>646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373109.29583333398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649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373109.29583333398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871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871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871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872" t="s">
        <v>677</v>
      </c>
      <c r="AA4" s="420" t="s">
        <v>481</v>
      </c>
      <c r="AB4" s="434" t="s">
        <v>678</v>
      </c>
    </row>
    <row r="5" spans="1:31" ht="15.75">
      <c r="A5" s="421">
        <v>1</v>
      </c>
      <c r="B5" s="6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24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27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30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32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34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37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40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43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45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48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51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54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57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60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62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65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68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71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73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76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483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82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84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87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95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103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106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121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122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127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129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133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137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138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141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155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157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158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160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163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164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171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182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183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187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189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196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200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202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204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205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207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210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211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212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213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215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216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220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224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226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227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229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628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484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192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679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273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120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361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364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642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365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366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367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369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370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371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372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359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373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375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376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378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380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381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382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383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384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385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387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644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388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360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391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394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398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401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402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403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406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120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157" t="s">
        <v>0</v>
      </c>
      <c r="B1" s="1157"/>
      <c r="C1" s="1157"/>
      <c r="D1" s="1157"/>
      <c r="E1" s="1157"/>
      <c r="F1" s="1158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666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588</v>
      </c>
      <c r="F4" s="850" t="s">
        <v>563</v>
      </c>
      <c r="G4" s="184" t="s">
        <v>589</v>
      </c>
      <c r="H4" s="184" t="s">
        <v>590</v>
      </c>
      <c r="I4" s="184" t="s">
        <v>591</v>
      </c>
      <c r="J4" s="858" t="s">
        <v>592</v>
      </c>
      <c r="K4" s="858" t="s">
        <v>593</v>
      </c>
      <c r="L4" s="858" t="s">
        <v>594</v>
      </c>
      <c r="M4" s="858" t="s">
        <v>595</v>
      </c>
      <c r="N4" s="858" t="s">
        <v>596</v>
      </c>
      <c r="O4" s="858" t="s">
        <v>572</v>
      </c>
      <c r="P4" s="858" t="s">
        <v>597</v>
      </c>
      <c r="Q4" s="858" t="s">
        <v>598</v>
      </c>
    </row>
    <row r="5" spans="1:17" ht="17.25" customHeight="1">
      <c r="A5" s="2"/>
      <c r="B5" s="2"/>
      <c r="C5" s="6"/>
      <c r="D5" s="6"/>
      <c r="E5" s="67" t="s">
        <v>21</v>
      </c>
      <c r="F5" s="851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67" t="s">
        <v>21</v>
      </c>
    </row>
    <row r="6" spans="1:17" ht="17.25" customHeight="1">
      <c r="A6" s="2"/>
      <c r="B6" s="2"/>
      <c r="C6" s="6"/>
      <c r="D6" s="6"/>
      <c r="E6" s="8" t="s">
        <v>599</v>
      </c>
      <c r="F6" s="852" t="s">
        <v>600</v>
      </c>
      <c r="G6" s="8" t="s">
        <v>601</v>
      </c>
      <c r="H6" s="8" t="s">
        <v>602</v>
      </c>
      <c r="I6" s="859" t="s">
        <v>603</v>
      </c>
      <c r="J6" s="859" t="s">
        <v>604</v>
      </c>
      <c r="K6" s="859" t="s">
        <v>605</v>
      </c>
      <c r="L6" s="859" t="s">
        <v>606</v>
      </c>
      <c r="M6" s="859" t="s">
        <v>607</v>
      </c>
      <c r="N6" s="859" t="s">
        <v>608</v>
      </c>
      <c r="O6" s="859" t="s">
        <v>609</v>
      </c>
      <c r="P6" s="859" t="s">
        <v>610</v>
      </c>
      <c r="Q6" s="859" t="s">
        <v>611</v>
      </c>
    </row>
    <row r="7" spans="1:17" ht="20.100000000000001" customHeight="1">
      <c r="A7" s="7" t="s">
        <v>22</v>
      </c>
      <c r="B7" s="6" t="s">
        <v>23</v>
      </c>
      <c r="C7" s="6"/>
      <c r="D7" s="6"/>
      <c r="E7" s="8"/>
      <c r="F7" s="852"/>
      <c r="G7" s="8"/>
      <c r="H7" s="8" t="s">
        <v>612</v>
      </c>
      <c r="I7" s="8" t="s">
        <v>613</v>
      </c>
      <c r="J7" s="859" t="s">
        <v>614</v>
      </c>
      <c r="K7" s="859" t="s">
        <v>615</v>
      </c>
      <c r="L7" s="859" t="s">
        <v>616</v>
      </c>
      <c r="M7" s="859"/>
      <c r="N7" s="859" t="s">
        <v>617</v>
      </c>
      <c r="O7" s="859" t="s">
        <v>618</v>
      </c>
      <c r="P7" s="859" t="s">
        <v>618</v>
      </c>
      <c r="Q7" s="859" t="s">
        <v>618</v>
      </c>
    </row>
    <row r="8" spans="1:17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34</v>
      </c>
      <c r="C12" s="10" t="s">
        <v>35</v>
      </c>
      <c r="D12" s="13" t="s">
        <v>578</v>
      </c>
      <c r="E12" s="70">
        <v>716034</v>
      </c>
      <c r="F12" s="853">
        <f>'[4] FGN 2024 MGT Monthly'!$H$44</f>
        <v>523386.5</v>
      </c>
      <c r="G12" s="70">
        <f>'[4]Peculiar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37</v>
      </c>
      <c r="C13" s="2" t="s">
        <v>38</v>
      </c>
      <c r="D13" s="8" t="s">
        <v>50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40</v>
      </c>
      <c r="C14" s="2" t="s">
        <v>619</v>
      </c>
      <c r="D14" s="13" t="s">
        <v>191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43</v>
      </c>
      <c r="C15" s="15" t="s">
        <v>44</v>
      </c>
      <c r="D15" s="13" t="s">
        <v>50</v>
      </c>
      <c r="E15" s="70">
        <v>601396.83333333302</v>
      </c>
      <c r="F15" s="853">
        <f>'[4]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45</v>
      </c>
      <c r="C16" s="2" t="s">
        <v>46</v>
      </c>
      <c r="D16" s="8" t="s">
        <v>214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48</v>
      </c>
      <c r="C17" s="2" t="s">
        <v>49</v>
      </c>
      <c r="D17" s="8" t="s">
        <v>42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51</v>
      </c>
      <c r="C18" s="10" t="s">
        <v>61</v>
      </c>
      <c r="D18" s="13" t="s">
        <v>56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54</v>
      </c>
      <c r="C19" s="2" t="s">
        <v>55</v>
      </c>
      <c r="D19" s="13" t="s">
        <v>620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57</v>
      </c>
      <c r="C20" s="2" t="s">
        <v>58</v>
      </c>
      <c r="D20" s="13" t="s">
        <v>576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60</v>
      </c>
      <c r="C21" s="2" t="s">
        <v>61</v>
      </c>
      <c r="D21" s="13" t="s">
        <v>576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62</v>
      </c>
      <c r="C22" s="10" t="s">
        <v>621</v>
      </c>
      <c r="D22" s="13" t="s">
        <v>261</v>
      </c>
      <c r="E22" s="70">
        <v>402278</v>
      </c>
      <c r="F22" s="853">
        <f>'[4]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65</v>
      </c>
      <c r="C23" s="10" t="s">
        <v>177</v>
      </c>
      <c r="D23" s="13" t="s">
        <v>172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68</v>
      </c>
      <c r="C24" s="15" t="s">
        <v>69</v>
      </c>
      <c r="D24" s="8" t="s">
        <v>131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71</v>
      </c>
      <c r="C25" s="15" t="s">
        <v>72</v>
      </c>
      <c r="D25" s="13" t="s">
        <v>131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73</v>
      </c>
      <c r="C26" s="15" t="s">
        <v>74</v>
      </c>
      <c r="D26" s="8" t="s">
        <v>81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76</v>
      </c>
      <c r="C27" s="15" t="s">
        <v>77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483</v>
      </c>
      <c r="C28" s="2" t="s">
        <v>94</v>
      </c>
      <c r="D28" s="8" t="s">
        <v>154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79</v>
      </c>
      <c r="C29" s="10" t="s">
        <v>94</v>
      </c>
      <c r="D29" s="13" t="s">
        <v>154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82</v>
      </c>
      <c r="C30" s="15" t="s">
        <v>69</v>
      </c>
      <c r="D30" s="8" t="s">
        <v>154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84</v>
      </c>
      <c r="C31" s="10" t="s">
        <v>85</v>
      </c>
      <c r="D31" s="13" t="s">
        <v>86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87</v>
      </c>
      <c r="C32" s="2" t="s">
        <v>88</v>
      </c>
      <c r="D32" s="8" t="s">
        <v>99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89</v>
      </c>
      <c r="C33" s="2" t="s">
        <v>88</v>
      </c>
      <c r="D33" s="8" t="s">
        <v>99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91</v>
      </c>
      <c r="C34" s="15" t="s">
        <v>622</v>
      </c>
      <c r="D34" s="13" t="s">
        <v>154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93</v>
      </c>
      <c r="C35" s="2" t="s">
        <v>94</v>
      </c>
      <c r="D35" s="8" t="s">
        <v>99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95</v>
      </c>
      <c r="C36" s="2" t="s">
        <v>623</v>
      </c>
      <c r="D36" s="8" t="s">
        <v>99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103</v>
      </c>
      <c r="C37" s="10" t="s">
        <v>104</v>
      </c>
      <c r="D37" s="13" t="s">
        <v>108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106</v>
      </c>
      <c r="C38" s="10" t="s">
        <v>107</v>
      </c>
      <c r="D38" s="13" t="s">
        <v>111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120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121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122</v>
      </c>
      <c r="C42" s="2" t="s">
        <v>123</v>
      </c>
      <c r="D42" s="8" t="s">
        <v>124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127</v>
      </c>
      <c r="C43" s="2" t="s">
        <v>128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129</v>
      </c>
      <c r="C44" s="2" t="s">
        <v>128</v>
      </c>
      <c r="D44" s="13" t="s">
        <v>78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133</v>
      </c>
      <c r="C45" s="2" t="s">
        <v>134</v>
      </c>
      <c r="D45" s="13" t="s">
        <v>99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137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138</v>
      </c>
      <c r="C49" s="2" t="s">
        <v>624</v>
      </c>
      <c r="D49" s="8" t="s">
        <v>36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141</v>
      </c>
      <c r="C50" s="2" t="s">
        <v>142</v>
      </c>
      <c r="D50" s="8" t="s">
        <v>39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143</v>
      </c>
      <c r="C51" s="2" t="s">
        <v>142</v>
      </c>
      <c r="D51" s="8" t="s">
        <v>39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144</v>
      </c>
      <c r="C52" s="2" t="s">
        <v>142</v>
      </c>
      <c r="D52" s="8" t="s">
        <v>50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145</v>
      </c>
      <c r="C53" s="2" t="s">
        <v>142</v>
      </c>
      <c r="D53" s="8" t="s">
        <v>42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78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86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155</v>
      </c>
      <c r="C56" s="2" t="s">
        <v>150</v>
      </c>
      <c r="D56" s="8" t="s">
        <v>86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120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157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158</v>
      </c>
      <c r="C60" s="10" t="s">
        <v>159</v>
      </c>
      <c r="D60" s="13" t="s">
        <v>124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160</v>
      </c>
      <c r="C61" s="10" t="s">
        <v>161</v>
      </c>
      <c r="D61" s="13" t="s">
        <v>162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120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163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164</v>
      </c>
      <c r="C65" s="2" t="s">
        <v>165</v>
      </c>
      <c r="D65" s="8" t="s">
        <v>36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52</v>
      </c>
      <c r="D66" s="8" t="s">
        <v>214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70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171</v>
      </c>
      <c r="C68" s="15" t="s">
        <v>72</v>
      </c>
      <c r="D68" s="8" t="s">
        <v>70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173</v>
      </c>
      <c r="C69" s="15" t="s">
        <v>72</v>
      </c>
      <c r="D69" s="8" t="s">
        <v>70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174</v>
      </c>
      <c r="C70" s="2" t="s">
        <v>625</v>
      </c>
      <c r="D70" s="8" t="s">
        <v>172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78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120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182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187</v>
      </c>
      <c r="C76" s="2" t="s">
        <v>188</v>
      </c>
      <c r="D76" s="8" t="s">
        <v>42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189</v>
      </c>
      <c r="C77" s="2" t="s">
        <v>190</v>
      </c>
      <c r="D77" s="13" t="s">
        <v>47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196</v>
      </c>
      <c r="C78" s="2" t="s">
        <v>197</v>
      </c>
      <c r="D78" s="8" t="s">
        <v>131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200</v>
      </c>
      <c r="C79" s="2" t="s">
        <v>181</v>
      </c>
      <c r="D79" s="8" t="s">
        <v>99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202</v>
      </c>
      <c r="C80" s="2" t="s">
        <v>203</v>
      </c>
      <c r="D80" s="8" t="s">
        <v>108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120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204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205</v>
      </c>
      <c r="C84" s="2" t="s">
        <v>142</v>
      </c>
      <c r="D84" s="8" t="s">
        <v>577</v>
      </c>
      <c r="E84" s="70">
        <f>'[5]Annual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207</v>
      </c>
      <c r="C85" s="2" t="s">
        <v>208</v>
      </c>
      <c r="D85" s="8" t="s">
        <v>578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210</v>
      </c>
      <c r="C86" s="2" t="s">
        <v>142</v>
      </c>
      <c r="D86" s="8" t="s">
        <v>50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211</v>
      </c>
      <c r="C87" s="2" t="s">
        <v>52</v>
      </c>
      <c r="D87" s="13" t="s">
        <v>214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212</v>
      </c>
      <c r="C88" s="2" t="s">
        <v>52</v>
      </c>
      <c r="D88" s="13" t="s">
        <v>214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213</v>
      </c>
      <c r="C89" s="10" t="s">
        <v>52</v>
      </c>
      <c r="D89" s="13" t="s">
        <v>53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215</v>
      </c>
      <c r="C90" s="15" t="s">
        <v>72</v>
      </c>
      <c r="D90" s="13" t="s">
        <v>70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216</v>
      </c>
      <c r="C91" s="15" t="s">
        <v>217</v>
      </c>
      <c r="D91" s="13" t="s">
        <v>64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220</v>
      </c>
      <c r="C92" s="2" t="s">
        <v>221</v>
      </c>
      <c r="D92" s="8" t="s">
        <v>78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224</v>
      </c>
      <c r="C93" s="15" t="s">
        <v>554</v>
      </c>
      <c r="D93" s="13" t="s">
        <v>105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120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226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227</v>
      </c>
      <c r="C97" s="2" t="s">
        <v>626</v>
      </c>
      <c r="D97" s="14" t="s">
        <v>140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47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64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627</v>
      </c>
      <c r="D100" s="13" t="s">
        <v>172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236</v>
      </c>
      <c r="C101" s="2" t="s">
        <v>199</v>
      </c>
      <c r="D101" s="13" t="s">
        <v>78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120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239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579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225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105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120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172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484</v>
      </c>
      <c r="C116" s="2" t="s">
        <v>72</v>
      </c>
      <c r="D116" s="13" t="s">
        <v>70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192</v>
      </c>
      <c r="C117" s="10" t="s">
        <v>193</v>
      </c>
      <c r="D117" s="13" t="s">
        <v>67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120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268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273</v>
      </c>
      <c r="C121" s="2" t="s">
        <v>274</v>
      </c>
      <c r="D121" s="8" t="s">
        <v>277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277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120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124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630</v>
      </c>
      <c r="D127" s="13" t="s">
        <v>36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285</v>
      </c>
      <c r="C128" s="10" t="s">
        <v>631</v>
      </c>
      <c r="D128" s="13" t="s">
        <v>578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191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289</v>
      </c>
      <c r="C130" s="10" t="s">
        <v>632</v>
      </c>
      <c r="D130" s="13" t="s">
        <v>214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47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294</v>
      </c>
      <c r="C132" s="10" t="s">
        <v>633</v>
      </c>
      <c r="D132" s="8" t="s">
        <v>154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108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108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111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120</v>
      </c>
      <c r="C136" s="24" t="s">
        <v>634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301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580</v>
      </c>
      <c r="E139" s="70">
        <f>'[5]Annual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36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42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42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42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67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315</v>
      </c>
      <c r="C145" s="2" t="s">
        <v>635</v>
      </c>
      <c r="D145" s="13" t="s">
        <v>67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317</v>
      </c>
      <c r="C146" s="10" t="s">
        <v>636</v>
      </c>
      <c r="D146" s="13" t="s">
        <v>172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70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131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179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179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131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78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86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331</v>
      </c>
      <c r="C154" s="10" t="s">
        <v>637</v>
      </c>
      <c r="D154" s="13" t="s">
        <v>151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333</v>
      </c>
      <c r="C155" s="10" t="s">
        <v>638</v>
      </c>
      <c r="D155" s="13" t="s">
        <v>154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335</v>
      </c>
      <c r="C156" s="10" t="s">
        <v>639</v>
      </c>
      <c r="D156" s="13" t="s">
        <v>151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336</v>
      </c>
      <c r="C157" s="10" t="s">
        <v>640</v>
      </c>
      <c r="D157" s="13" t="s">
        <v>154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99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99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108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108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108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351</v>
      </c>
      <c r="C163" s="10" t="s">
        <v>641</v>
      </c>
      <c r="D163" s="13" t="s">
        <v>105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108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111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111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361</v>
      </c>
      <c r="C167" s="10" t="s">
        <v>556</v>
      </c>
      <c r="D167" s="13" t="s">
        <v>374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364</v>
      </c>
      <c r="C168" s="10" t="s">
        <v>556</v>
      </c>
      <c r="D168" s="13" t="s">
        <v>374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642</v>
      </c>
      <c r="C169" s="10" t="s">
        <v>556</v>
      </c>
      <c r="D169" s="13" t="s">
        <v>374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365</v>
      </c>
      <c r="C170" s="10" t="s">
        <v>556</v>
      </c>
      <c r="D170" s="13" t="s">
        <v>374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366</v>
      </c>
      <c r="C171" s="10" t="s">
        <v>556</v>
      </c>
      <c r="D171" s="13" t="s">
        <v>374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367</v>
      </c>
      <c r="C172" s="10" t="s">
        <v>556</v>
      </c>
      <c r="D172" s="13" t="s">
        <v>386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369</v>
      </c>
      <c r="C173" s="10" t="s">
        <v>556</v>
      </c>
      <c r="D173" s="13" t="s">
        <v>386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370</v>
      </c>
      <c r="C174" s="10" t="s">
        <v>556</v>
      </c>
      <c r="D174" s="13" t="s">
        <v>386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371</v>
      </c>
      <c r="C175" s="10" t="s">
        <v>556</v>
      </c>
      <c r="D175" s="13" t="s">
        <v>386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372</v>
      </c>
      <c r="C176" s="10" t="s">
        <v>556</v>
      </c>
      <c r="D176" s="13" t="s">
        <v>386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359</v>
      </c>
      <c r="C177" s="10" t="s">
        <v>556</v>
      </c>
      <c r="D177" s="13" t="s">
        <v>386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373</v>
      </c>
      <c r="C178" s="10" t="s">
        <v>362</v>
      </c>
      <c r="D178" s="13" t="s">
        <v>582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375</v>
      </c>
      <c r="C179" s="10" t="s">
        <v>362</v>
      </c>
      <c r="D179" s="13" t="s">
        <v>582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376</v>
      </c>
      <c r="C180" s="10" t="s">
        <v>362</v>
      </c>
      <c r="D180" s="13" t="s">
        <v>379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378</v>
      </c>
      <c r="C181" s="10" t="s">
        <v>389</v>
      </c>
      <c r="D181" s="13" t="s">
        <v>583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380</v>
      </c>
      <c r="C182" s="10" t="s">
        <v>558</v>
      </c>
      <c r="D182" s="13" t="s">
        <v>643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381</v>
      </c>
      <c r="C183" s="10" t="s">
        <v>558</v>
      </c>
      <c r="D183" s="13" t="s">
        <v>643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382</v>
      </c>
      <c r="C184" s="10" t="s">
        <v>558</v>
      </c>
      <c r="D184" s="13" t="s">
        <v>643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383</v>
      </c>
      <c r="C185" s="10" t="s">
        <v>558</v>
      </c>
      <c r="D185" s="13" t="s">
        <v>643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384</v>
      </c>
      <c r="C186" s="10" t="s">
        <v>558</v>
      </c>
      <c r="D186" s="13" t="s">
        <v>643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385</v>
      </c>
      <c r="C187" s="10" t="s">
        <v>558</v>
      </c>
      <c r="D187" s="13" t="s">
        <v>643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387</v>
      </c>
      <c r="C188" s="10" t="s">
        <v>558</v>
      </c>
      <c r="D188" s="13" t="s">
        <v>643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644</v>
      </c>
      <c r="C189" s="10" t="s">
        <v>389</v>
      </c>
      <c r="D189" s="13" t="s">
        <v>643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388</v>
      </c>
      <c r="C190" s="10" t="s">
        <v>389</v>
      </c>
      <c r="D190" s="13" t="s">
        <v>643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360</v>
      </c>
      <c r="C191" s="10" t="s">
        <v>392</v>
      </c>
      <c r="D191" s="13" t="s">
        <v>645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391</v>
      </c>
      <c r="C192" s="10" t="s">
        <v>392</v>
      </c>
      <c r="D192" s="13" t="s">
        <v>395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394</v>
      </c>
      <c r="C193" s="10" t="s">
        <v>392</v>
      </c>
      <c r="D193" s="13" t="s">
        <v>397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398</v>
      </c>
      <c r="C194" s="10" t="s">
        <v>399</v>
      </c>
      <c r="D194" s="13" t="s">
        <v>585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401</v>
      </c>
      <c r="C195" s="10" t="s">
        <v>399</v>
      </c>
      <c r="D195" s="13" t="s">
        <v>585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402</v>
      </c>
      <c r="C196" s="10" t="s">
        <v>399</v>
      </c>
      <c r="D196" s="13" t="s">
        <v>585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403</v>
      </c>
      <c r="C197" s="10" t="s">
        <v>404</v>
      </c>
      <c r="D197" s="13" t="s">
        <v>393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406</v>
      </c>
      <c r="C198" s="10" t="s">
        <v>404</v>
      </c>
      <c r="D198" s="13" t="s">
        <v>393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120</v>
      </c>
      <c r="C199" s="26" t="s">
        <v>646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647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648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649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1163" t="s">
        <v>886</v>
      </c>
      <c r="B1" s="1163"/>
      <c r="C1" s="1163"/>
      <c r="D1" s="1163"/>
      <c r="E1" s="1163"/>
      <c r="F1" s="1163"/>
      <c r="G1" s="1163"/>
      <c r="H1" s="1163"/>
      <c r="I1" s="1163"/>
      <c r="J1" s="1163"/>
      <c r="K1" s="1163"/>
    </row>
    <row r="2" spans="1:12" ht="15.75">
      <c r="A2" s="1163" t="s">
        <v>887</v>
      </c>
      <c r="B2" s="1163"/>
      <c r="C2" s="1163"/>
      <c r="D2" s="1163"/>
      <c r="E2" s="1163"/>
      <c r="F2" s="1163"/>
      <c r="G2" s="1163"/>
      <c r="H2" s="1163"/>
      <c r="I2" s="1163"/>
      <c r="J2" s="1163"/>
      <c r="K2" s="1163"/>
    </row>
    <row r="3" spans="1:12" ht="15.75">
      <c r="A3" s="1164" t="s">
        <v>888</v>
      </c>
      <c r="B3" s="1164"/>
      <c r="C3" s="1164"/>
      <c r="D3" s="1164"/>
      <c r="E3" s="1164"/>
      <c r="F3" s="1164"/>
      <c r="G3" s="1164"/>
      <c r="H3" s="1164"/>
      <c r="I3" s="1164"/>
      <c r="J3" s="1164"/>
      <c r="K3" s="1164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22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889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21</v>
      </c>
      <c r="G6" s="808"/>
      <c r="H6" s="808"/>
      <c r="I6" s="808"/>
      <c r="J6" s="808"/>
      <c r="K6" s="808" t="s">
        <v>21</v>
      </c>
      <c r="L6" s="819"/>
    </row>
    <row r="7" spans="1:12" ht="29.1" customHeight="1">
      <c r="A7" s="80">
        <v>1</v>
      </c>
      <c r="B7" s="597" t="s">
        <v>24</v>
      </c>
      <c r="C7" s="68" t="s">
        <v>25</v>
      </c>
      <c r="D7" s="68" t="s">
        <v>26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27</v>
      </c>
      <c r="C8" s="68" t="s">
        <v>28</v>
      </c>
      <c r="D8" s="80" t="s">
        <v>29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30</v>
      </c>
      <c r="C9" s="71" t="s">
        <v>31</v>
      </c>
      <c r="D9" s="80" t="s">
        <v>29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32</v>
      </c>
      <c r="C10" s="72" t="s">
        <v>33</v>
      </c>
      <c r="D10" s="80" t="s">
        <v>29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302</v>
      </c>
      <c r="C11" s="71" t="s">
        <v>890</v>
      </c>
      <c r="D11" s="80" t="s">
        <v>29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891</v>
      </c>
      <c r="C12" s="72" t="s">
        <v>892</v>
      </c>
      <c r="D12" s="80" t="s">
        <v>29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34</v>
      </c>
      <c r="C13" s="68" t="s">
        <v>893</v>
      </c>
      <c r="D13" s="594" t="s">
        <v>39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37</v>
      </c>
      <c r="C14" s="71" t="s">
        <v>38</v>
      </c>
      <c r="D14" s="80" t="s">
        <v>42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40</v>
      </c>
      <c r="C15" s="71" t="s">
        <v>619</v>
      </c>
      <c r="D15" s="594" t="s">
        <v>191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43</v>
      </c>
      <c r="C16" s="72" t="s">
        <v>52</v>
      </c>
      <c r="D16" s="594" t="s">
        <v>47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45</v>
      </c>
      <c r="C17" s="71" t="s">
        <v>46</v>
      </c>
      <c r="D17" s="80" t="s">
        <v>53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48</v>
      </c>
      <c r="C18" s="71" t="s">
        <v>894</v>
      </c>
      <c r="D18" s="80" t="s">
        <v>56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51</v>
      </c>
      <c r="C19" s="68" t="s">
        <v>61</v>
      </c>
      <c r="D19" s="594" t="s">
        <v>575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54</v>
      </c>
      <c r="C20" s="71" t="s">
        <v>55</v>
      </c>
      <c r="D20" s="594" t="s">
        <v>59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65</v>
      </c>
      <c r="C21" s="68" t="s">
        <v>177</v>
      </c>
      <c r="D21" s="594" t="s">
        <v>70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68</v>
      </c>
      <c r="C22" s="72" t="s">
        <v>69</v>
      </c>
      <c r="D22" s="80" t="s">
        <v>179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71</v>
      </c>
      <c r="C23" s="72" t="s">
        <v>72</v>
      </c>
      <c r="D23" s="594" t="s">
        <v>179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73</v>
      </c>
      <c r="C24" s="72" t="s">
        <v>74</v>
      </c>
      <c r="D24" s="80" t="s">
        <v>81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483</v>
      </c>
      <c r="C25" s="71" t="s">
        <v>94</v>
      </c>
      <c r="D25" s="80" t="s">
        <v>86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79</v>
      </c>
      <c r="C26" s="68" t="s">
        <v>94</v>
      </c>
      <c r="D26" s="594" t="s">
        <v>86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82</v>
      </c>
      <c r="C27" s="72" t="s">
        <v>69</v>
      </c>
      <c r="D27" s="80" t="s">
        <v>86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84</v>
      </c>
      <c r="C28" s="68" t="s">
        <v>85</v>
      </c>
      <c r="D28" s="594" t="s">
        <v>99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87</v>
      </c>
      <c r="C29" s="71" t="s">
        <v>88</v>
      </c>
      <c r="D29" s="80" t="s">
        <v>225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89</v>
      </c>
      <c r="C30" s="71" t="s">
        <v>88</v>
      </c>
      <c r="D30" s="80" t="s">
        <v>225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91</v>
      </c>
      <c r="C31" s="72" t="s">
        <v>622</v>
      </c>
      <c r="D31" s="594" t="s">
        <v>86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95</v>
      </c>
      <c r="C32" s="71" t="s">
        <v>623</v>
      </c>
      <c r="D32" s="80" t="s">
        <v>108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103</v>
      </c>
      <c r="C33" s="68" t="s">
        <v>104</v>
      </c>
      <c r="D33" s="594" t="s">
        <v>111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120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121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122</v>
      </c>
      <c r="C37" s="71" t="s">
        <v>123</v>
      </c>
      <c r="D37" s="80" t="s">
        <v>124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127</v>
      </c>
      <c r="C38" s="71" t="s">
        <v>128</v>
      </c>
      <c r="D38" s="80" t="s">
        <v>81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129</v>
      </c>
      <c r="C39" s="71" t="s">
        <v>128</v>
      </c>
      <c r="D39" s="594" t="s">
        <v>75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137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895</v>
      </c>
      <c r="C43" s="71" t="s">
        <v>896</v>
      </c>
      <c r="D43" s="80" t="s">
        <v>124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897</v>
      </c>
      <c r="C44" s="71" t="s">
        <v>44</v>
      </c>
      <c r="D44" s="80" t="s">
        <v>39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138</v>
      </c>
      <c r="C45" s="71" t="s">
        <v>624</v>
      </c>
      <c r="D45" s="80" t="s">
        <v>209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141</v>
      </c>
      <c r="C46" s="71" t="s">
        <v>142</v>
      </c>
      <c r="D46" s="80" t="s">
        <v>39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143</v>
      </c>
      <c r="C47" s="71" t="s">
        <v>142</v>
      </c>
      <c r="D47" s="80" t="s">
        <v>39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144</v>
      </c>
      <c r="C48" s="71" t="s">
        <v>142</v>
      </c>
      <c r="D48" s="80" t="s">
        <v>42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145</v>
      </c>
      <c r="C49" s="71" t="s">
        <v>52</v>
      </c>
      <c r="D49" s="816" t="s">
        <v>47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149</v>
      </c>
      <c r="C50" s="71" t="s">
        <v>150</v>
      </c>
      <c r="D50" s="80" t="s">
        <v>75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153</v>
      </c>
      <c r="C51" s="71" t="s">
        <v>150</v>
      </c>
      <c r="D51" s="80" t="s">
        <v>99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898</v>
      </c>
      <c r="C52" s="71" t="s">
        <v>150</v>
      </c>
      <c r="D52" s="80" t="s">
        <v>99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155</v>
      </c>
      <c r="C53" s="71" t="s">
        <v>150</v>
      </c>
      <c r="D53" s="80" t="s">
        <v>99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120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157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899</v>
      </c>
      <c r="C57" s="68" t="s">
        <v>159</v>
      </c>
      <c r="D57" s="594" t="s">
        <v>124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160</v>
      </c>
      <c r="C58" s="68" t="s">
        <v>161</v>
      </c>
      <c r="D58" s="594" t="s">
        <v>162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120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163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900</v>
      </c>
      <c r="C62" s="72" t="s">
        <v>901</v>
      </c>
      <c r="D62" s="80" t="s">
        <v>124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902</v>
      </c>
      <c r="C63" s="72" t="s">
        <v>903</v>
      </c>
      <c r="D63" s="594" t="s">
        <v>50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166</v>
      </c>
      <c r="C64" s="71" t="s">
        <v>52</v>
      </c>
      <c r="D64" s="80" t="s">
        <v>53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904</v>
      </c>
      <c r="C65" s="72" t="s">
        <v>217</v>
      </c>
      <c r="D65" s="594" t="s">
        <v>575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905</v>
      </c>
      <c r="C66" s="72" t="s">
        <v>52</v>
      </c>
      <c r="D66" s="594" t="s">
        <v>191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170</v>
      </c>
      <c r="C67" s="71" t="s">
        <v>150</v>
      </c>
      <c r="D67" s="80" t="s">
        <v>131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171</v>
      </c>
      <c r="C68" s="72" t="s">
        <v>72</v>
      </c>
      <c r="D68" s="80" t="s">
        <v>131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173</v>
      </c>
      <c r="C69" s="72" t="s">
        <v>72</v>
      </c>
      <c r="D69" s="80" t="s">
        <v>131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174</v>
      </c>
      <c r="C70" s="71" t="s">
        <v>625</v>
      </c>
      <c r="D70" s="80" t="s">
        <v>70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178</v>
      </c>
      <c r="C71" s="71" t="s">
        <v>150</v>
      </c>
      <c r="D71" s="80" t="s">
        <v>75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120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182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183</v>
      </c>
      <c r="C75" s="71" t="s">
        <v>184</v>
      </c>
      <c r="D75" s="80" t="s">
        <v>124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906</v>
      </c>
      <c r="C76" s="71" t="s">
        <v>907</v>
      </c>
      <c r="D76" s="594" t="s">
        <v>908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185</v>
      </c>
      <c r="C77" s="68" t="s">
        <v>909</v>
      </c>
      <c r="D77" s="80" t="s">
        <v>162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189</v>
      </c>
      <c r="C78" s="71" t="s">
        <v>190</v>
      </c>
      <c r="D78" s="594" t="s">
        <v>214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196</v>
      </c>
      <c r="C79" s="71" t="s">
        <v>181</v>
      </c>
      <c r="D79" s="80" t="s">
        <v>78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200</v>
      </c>
      <c r="C80" s="71" t="s">
        <v>181</v>
      </c>
      <c r="D80" s="80" t="s">
        <v>99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202</v>
      </c>
      <c r="C81" s="71" t="s">
        <v>203</v>
      </c>
      <c r="D81" s="80" t="s">
        <v>111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120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204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207</v>
      </c>
      <c r="C85" s="71" t="s">
        <v>142</v>
      </c>
      <c r="D85" s="80" t="s">
        <v>39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205</v>
      </c>
      <c r="C86" s="71" t="s">
        <v>142</v>
      </c>
      <c r="D86" s="80" t="s">
        <v>39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210</v>
      </c>
      <c r="C87" s="71" t="s">
        <v>142</v>
      </c>
      <c r="D87" s="80" t="s">
        <v>42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211</v>
      </c>
      <c r="C88" s="71" t="s">
        <v>910</v>
      </c>
      <c r="D88" s="594" t="s">
        <v>56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212</v>
      </c>
      <c r="C89" s="68" t="s">
        <v>217</v>
      </c>
      <c r="D89" s="594" t="s">
        <v>575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213</v>
      </c>
      <c r="C90" s="68" t="s">
        <v>52</v>
      </c>
      <c r="D90" s="594" t="s">
        <v>574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215</v>
      </c>
      <c r="C91" s="72" t="s">
        <v>72</v>
      </c>
      <c r="D91" s="594" t="s">
        <v>131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216</v>
      </c>
      <c r="C92" s="72" t="s">
        <v>217</v>
      </c>
      <c r="D92" s="594" t="s">
        <v>67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220</v>
      </c>
      <c r="C93" s="71" t="s">
        <v>221</v>
      </c>
      <c r="D93" s="80" t="s">
        <v>75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224</v>
      </c>
      <c r="C94" s="72" t="s">
        <v>554</v>
      </c>
      <c r="D94" s="594" t="s">
        <v>108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120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226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227</v>
      </c>
      <c r="C98" s="71" t="s">
        <v>626</v>
      </c>
      <c r="D98" s="816" t="s">
        <v>577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229</v>
      </c>
      <c r="C99" s="71" t="s">
        <v>230</v>
      </c>
      <c r="D99" s="594" t="s">
        <v>214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235</v>
      </c>
      <c r="C100" s="71" t="s">
        <v>627</v>
      </c>
      <c r="D100" s="594" t="s">
        <v>70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236</v>
      </c>
      <c r="C101" s="71" t="s">
        <v>199</v>
      </c>
      <c r="D101" s="594" t="s">
        <v>75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120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239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628</v>
      </c>
      <c r="C105" s="68" t="s">
        <v>241</v>
      </c>
      <c r="D105" s="594" t="s">
        <v>124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242</v>
      </c>
      <c r="C106" s="71" t="s">
        <v>243</v>
      </c>
      <c r="D106" s="816" t="s">
        <v>36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244</v>
      </c>
      <c r="C107" s="71" t="s">
        <v>629</v>
      </c>
      <c r="D107" s="80" t="s">
        <v>56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246</v>
      </c>
      <c r="C108" s="71" t="s">
        <v>629</v>
      </c>
      <c r="D108" s="80" t="s">
        <v>56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249</v>
      </c>
      <c r="C109" s="71" t="s">
        <v>250</v>
      </c>
      <c r="D109" s="594" t="s">
        <v>911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252</v>
      </c>
      <c r="C110" s="71" t="s">
        <v>250</v>
      </c>
      <c r="D110" s="80" t="s">
        <v>517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253</v>
      </c>
      <c r="C111" s="71" t="s">
        <v>250</v>
      </c>
      <c r="D111" s="594" t="s">
        <v>108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120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257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164</v>
      </c>
      <c r="C115" s="71" t="s">
        <v>142</v>
      </c>
      <c r="D115" s="80" t="s">
        <v>50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259</v>
      </c>
      <c r="C116" s="71" t="s">
        <v>260</v>
      </c>
      <c r="D116" s="594" t="s">
        <v>70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192</v>
      </c>
      <c r="C117" s="68" t="s">
        <v>912</v>
      </c>
      <c r="D117" s="594" t="s">
        <v>172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120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280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281</v>
      </c>
      <c r="C121" s="68" t="s">
        <v>282</v>
      </c>
      <c r="D121" s="594" t="s">
        <v>124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283</v>
      </c>
      <c r="C122" s="68" t="s">
        <v>630</v>
      </c>
      <c r="D122" s="594" t="s">
        <v>209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285</v>
      </c>
      <c r="C123" s="68" t="s">
        <v>631</v>
      </c>
      <c r="D123" s="594" t="s">
        <v>39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913</v>
      </c>
      <c r="C124" s="68" t="s">
        <v>631</v>
      </c>
      <c r="D124" s="594" t="s">
        <v>42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288</v>
      </c>
      <c r="C125" s="68" t="s">
        <v>290</v>
      </c>
      <c r="D125" s="594" t="s">
        <v>47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289</v>
      </c>
      <c r="C126" s="68" t="s">
        <v>632</v>
      </c>
      <c r="D126" s="594" t="s">
        <v>53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291</v>
      </c>
      <c r="C127" s="68" t="s">
        <v>290</v>
      </c>
      <c r="D127" s="594" t="s">
        <v>214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294</v>
      </c>
      <c r="C128" s="68" t="s">
        <v>633</v>
      </c>
      <c r="D128" s="80" t="s">
        <v>86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296</v>
      </c>
      <c r="C129" s="68" t="s">
        <v>297</v>
      </c>
      <c r="D129" s="594" t="s">
        <v>111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298</v>
      </c>
      <c r="C130" s="68" t="s">
        <v>293</v>
      </c>
      <c r="D130" s="594" t="s">
        <v>111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120</v>
      </c>
      <c r="C131" s="84" t="s">
        <v>634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301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914</v>
      </c>
      <c r="C134" s="68" t="s">
        <v>915</v>
      </c>
      <c r="D134" s="594" t="s">
        <v>124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916</v>
      </c>
      <c r="C135" s="68" t="s">
        <v>917</v>
      </c>
      <c r="D135" s="594" t="s">
        <v>36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305</v>
      </c>
      <c r="C136" s="71" t="s">
        <v>306</v>
      </c>
      <c r="D136" s="816" t="s">
        <v>36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307</v>
      </c>
      <c r="C137" s="68" t="s">
        <v>918</v>
      </c>
      <c r="D137" s="594" t="s">
        <v>191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309</v>
      </c>
      <c r="C138" s="71" t="s">
        <v>313</v>
      </c>
      <c r="D138" s="594" t="s">
        <v>191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311</v>
      </c>
      <c r="C139" s="71" t="s">
        <v>313</v>
      </c>
      <c r="D139" s="594" t="s">
        <v>191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231</v>
      </c>
      <c r="C140" s="68" t="s">
        <v>919</v>
      </c>
      <c r="D140" s="594" t="s">
        <v>172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314</v>
      </c>
      <c r="C141" s="68" t="s">
        <v>919</v>
      </c>
      <c r="D141" s="594" t="s">
        <v>172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315</v>
      </c>
      <c r="C142" s="71" t="s">
        <v>920</v>
      </c>
      <c r="D142" s="594" t="s">
        <v>172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317</v>
      </c>
      <c r="C143" s="68" t="s">
        <v>636</v>
      </c>
      <c r="D143" s="594" t="s">
        <v>70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319</v>
      </c>
      <c r="C144" s="68" t="s">
        <v>320</v>
      </c>
      <c r="D144" s="594" t="s">
        <v>131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62</v>
      </c>
      <c r="C145" s="68" t="s">
        <v>921</v>
      </c>
      <c r="D145" s="594" t="s">
        <v>172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321</v>
      </c>
      <c r="C146" s="71" t="s">
        <v>322</v>
      </c>
      <c r="D146" s="594" t="s">
        <v>179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323</v>
      </c>
      <c r="C147" s="71" t="s">
        <v>922</v>
      </c>
      <c r="D147" s="594" t="s">
        <v>78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324</v>
      </c>
      <c r="C148" s="71" t="s">
        <v>922</v>
      </c>
      <c r="D148" s="594" t="s">
        <v>151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326</v>
      </c>
      <c r="C149" s="71" t="s">
        <v>922</v>
      </c>
      <c r="D149" s="594" t="s">
        <v>151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327</v>
      </c>
      <c r="C150" s="68" t="s">
        <v>328</v>
      </c>
      <c r="D150" s="594" t="s">
        <v>75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329</v>
      </c>
      <c r="C151" s="68" t="s">
        <v>330</v>
      </c>
      <c r="D151" s="80" t="s">
        <v>99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331</v>
      </c>
      <c r="C152" s="68" t="s">
        <v>637</v>
      </c>
      <c r="D152" s="594" t="s">
        <v>78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333</v>
      </c>
      <c r="C153" s="68" t="s">
        <v>638</v>
      </c>
      <c r="D153" s="594" t="s">
        <v>86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335</v>
      </c>
      <c r="C154" s="68" t="s">
        <v>639</v>
      </c>
      <c r="D154" s="594" t="s">
        <v>78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336</v>
      </c>
      <c r="C155" s="68" t="s">
        <v>640</v>
      </c>
      <c r="D155" s="594" t="s">
        <v>86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338</v>
      </c>
      <c r="C156" s="68" t="s">
        <v>339</v>
      </c>
      <c r="D156" s="594" t="s">
        <v>225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345</v>
      </c>
      <c r="C157" s="68" t="s">
        <v>346</v>
      </c>
      <c r="D157" s="594" t="s">
        <v>111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347</v>
      </c>
      <c r="C158" s="68" t="s">
        <v>348</v>
      </c>
      <c r="D158" s="594" t="s">
        <v>111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349</v>
      </c>
      <c r="C159" s="68" t="s">
        <v>350</v>
      </c>
      <c r="D159" s="594" t="s">
        <v>111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351</v>
      </c>
      <c r="C160" s="68" t="s">
        <v>641</v>
      </c>
      <c r="D160" s="594" t="s">
        <v>108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352</v>
      </c>
      <c r="C161" s="68" t="s">
        <v>348</v>
      </c>
      <c r="D161" s="594" t="s">
        <v>111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361</v>
      </c>
      <c r="C162" s="68" t="s">
        <v>556</v>
      </c>
      <c r="D162" s="594" t="s">
        <v>386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364</v>
      </c>
      <c r="C163" s="68" t="s">
        <v>556</v>
      </c>
      <c r="D163" s="594" t="s">
        <v>386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642</v>
      </c>
      <c r="C164" s="68" t="s">
        <v>556</v>
      </c>
      <c r="D164" s="594" t="s">
        <v>386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365</v>
      </c>
      <c r="C165" s="68" t="s">
        <v>556</v>
      </c>
      <c r="D165" s="594" t="s">
        <v>386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366</v>
      </c>
      <c r="C166" s="68" t="s">
        <v>556</v>
      </c>
      <c r="D166" s="594" t="s">
        <v>386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367</v>
      </c>
      <c r="C167" s="68" t="s">
        <v>556</v>
      </c>
      <c r="D167" s="594" t="s">
        <v>379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369</v>
      </c>
      <c r="C168" s="68" t="s">
        <v>556</v>
      </c>
      <c r="D168" s="594" t="s">
        <v>379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370</v>
      </c>
      <c r="C169" s="68" t="s">
        <v>556</v>
      </c>
      <c r="D169" s="594" t="s">
        <v>379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371</v>
      </c>
      <c r="C170" s="68" t="s">
        <v>556</v>
      </c>
      <c r="D170" s="594" t="s">
        <v>379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372</v>
      </c>
      <c r="C171" s="68" t="s">
        <v>556</v>
      </c>
      <c r="D171" s="594" t="s">
        <v>379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359</v>
      </c>
      <c r="C172" s="68" t="s">
        <v>556</v>
      </c>
      <c r="D172" s="594" t="s">
        <v>379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373</v>
      </c>
      <c r="C173" s="68" t="s">
        <v>362</v>
      </c>
      <c r="D173" s="594" t="s">
        <v>583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375</v>
      </c>
      <c r="C174" s="68" t="s">
        <v>362</v>
      </c>
      <c r="D174" s="594" t="s">
        <v>583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376</v>
      </c>
      <c r="C175" s="68" t="s">
        <v>362</v>
      </c>
      <c r="D175" s="594" t="s">
        <v>582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378</v>
      </c>
      <c r="C176" s="68" t="s">
        <v>389</v>
      </c>
      <c r="D176" s="594" t="s">
        <v>584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380</v>
      </c>
      <c r="C177" s="68" t="s">
        <v>558</v>
      </c>
      <c r="D177" s="594" t="s">
        <v>645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381</v>
      </c>
      <c r="C178" s="68" t="s">
        <v>558</v>
      </c>
      <c r="D178" s="594" t="s">
        <v>645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382</v>
      </c>
      <c r="C179" s="68" t="s">
        <v>558</v>
      </c>
      <c r="D179" s="594" t="s">
        <v>645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383</v>
      </c>
      <c r="C180" s="68" t="s">
        <v>558</v>
      </c>
      <c r="D180" s="594" t="s">
        <v>645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384</v>
      </c>
      <c r="C181" s="68" t="s">
        <v>558</v>
      </c>
      <c r="D181" s="594" t="s">
        <v>645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385</v>
      </c>
      <c r="C182" s="68" t="s">
        <v>558</v>
      </c>
      <c r="D182" s="594" t="s">
        <v>645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387</v>
      </c>
      <c r="C183" s="68" t="s">
        <v>558</v>
      </c>
      <c r="D183" s="594" t="s">
        <v>645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644</v>
      </c>
      <c r="C184" s="68" t="s">
        <v>389</v>
      </c>
      <c r="D184" s="594" t="s">
        <v>645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388</v>
      </c>
      <c r="C185" s="68" t="s">
        <v>389</v>
      </c>
      <c r="D185" s="594" t="s">
        <v>645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360</v>
      </c>
      <c r="C186" s="68" t="s">
        <v>392</v>
      </c>
      <c r="D186" s="594" t="s">
        <v>393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394</v>
      </c>
      <c r="C187" s="68" t="s">
        <v>558</v>
      </c>
      <c r="D187" s="594" t="s">
        <v>400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398</v>
      </c>
      <c r="C188" s="68" t="s">
        <v>399</v>
      </c>
      <c r="D188" s="594" t="s">
        <v>923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401</v>
      </c>
      <c r="C189" s="68" t="s">
        <v>399</v>
      </c>
      <c r="D189" s="594" t="s">
        <v>923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402</v>
      </c>
      <c r="C190" s="68" t="s">
        <v>399</v>
      </c>
      <c r="D190" s="594" t="s">
        <v>923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403</v>
      </c>
      <c r="C191" s="68" t="s">
        <v>404</v>
      </c>
      <c r="D191" s="594" t="s">
        <v>395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406</v>
      </c>
      <c r="C192" s="68" t="s">
        <v>404</v>
      </c>
      <c r="D192" s="594" t="s">
        <v>395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120</v>
      </c>
      <c r="C193" s="85" t="s">
        <v>924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408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165" t="s">
        <v>0</v>
      </c>
      <c r="B1" s="1165"/>
      <c r="C1" s="1165"/>
      <c r="D1" s="1165"/>
    </row>
    <row r="2" spans="1:4" ht="32.1" customHeight="1">
      <c r="A2" s="800" t="s">
        <v>925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926</v>
      </c>
    </row>
    <row r="5" spans="1:4" ht="30" customHeight="1">
      <c r="A5" s="2">
        <v>1</v>
      </c>
      <c r="B5" s="15" t="s">
        <v>927</v>
      </c>
      <c r="C5" s="784" t="s">
        <v>928</v>
      </c>
      <c r="D5" s="784">
        <v>1</v>
      </c>
    </row>
    <row r="6" spans="1:4" ht="30" customHeight="1">
      <c r="A6" s="2">
        <v>2</v>
      </c>
      <c r="B6" s="41" t="s">
        <v>929</v>
      </c>
      <c r="C6" s="1115" t="s">
        <v>930</v>
      </c>
      <c r="D6" s="45">
        <v>8</v>
      </c>
    </row>
    <row r="7" spans="1:4" ht="30" customHeight="1">
      <c r="A7" s="2">
        <v>3</v>
      </c>
      <c r="B7" s="41" t="s">
        <v>931</v>
      </c>
      <c r="C7" s="1115" t="s">
        <v>932</v>
      </c>
      <c r="D7" s="45">
        <v>11</v>
      </c>
    </row>
    <row r="8" spans="1:4" ht="30" customHeight="1">
      <c r="A8" s="2">
        <v>4</v>
      </c>
      <c r="B8" s="41" t="s">
        <v>933</v>
      </c>
      <c r="C8" s="1115" t="s">
        <v>934</v>
      </c>
      <c r="D8" s="45">
        <v>13</v>
      </c>
    </row>
    <row r="9" spans="1:4" ht="30" customHeight="1">
      <c r="A9" s="2">
        <v>5</v>
      </c>
      <c r="B9" s="41" t="s">
        <v>935</v>
      </c>
      <c r="C9" s="1115" t="s">
        <v>936</v>
      </c>
      <c r="D9" s="45">
        <v>11</v>
      </c>
    </row>
    <row r="10" spans="1:4" ht="30" customHeight="1">
      <c r="A10" s="2">
        <v>6</v>
      </c>
      <c r="B10" s="41" t="s">
        <v>937</v>
      </c>
      <c r="C10" s="1115" t="s">
        <v>938</v>
      </c>
      <c r="D10" s="45">
        <v>15</v>
      </c>
    </row>
    <row r="11" spans="1:4" ht="30" customHeight="1">
      <c r="A11" s="2">
        <v>7</v>
      </c>
      <c r="B11" s="41" t="s">
        <v>773</v>
      </c>
      <c r="C11" s="1115" t="s">
        <v>939</v>
      </c>
      <c r="D11" s="45">
        <v>22</v>
      </c>
    </row>
    <row r="12" spans="1:4" ht="30" customHeight="1">
      <c r="A12" s="2">
        <v>8</v>
      </c>
      <c r="B12" s="41" t="s">
        <v>940</v>
      </c>
      <c r="C12" s="1115" t="s">
        <v>941</v>
      </c>
      <c r="D12" s="45">
        <v>14</v>
      </c>
    </row>
    <row r="13" spans="1:4" ht="30" customHeight="1">
      <c r="A13" s="2">
        <v>9</v>
      </c>
      <c r="B13" s="41" t="s">
        <v>942</v>
      </c>
      <c r="C13" s="1115" t="s">
        <v>943</v>
      </c>
      <c r="D13" s="45">
        <v>27</v>
      </c>
    </row>
    <row r="14" spans="1:4" ht="30" customHeight="1">
      <c r="A14" s="2">
        <v>10</v>
      </c>
      <c r="B14" s="41" t="s">
        <v>944</v>
      </c>
      <c r="C14" s="1115" t="s">
        <v>945</v>
      </c>
      <c r="D14" s="45">
        <v>26</v>
      </c>
    </row>
    <row r="15" spans="1:4" ht="30" customHeight="1">
      <c r="A15" s="2">
        <v>11</v>
      </c>
      <c r="B15" s="41" t="s">
        <v>946</v>
      </c>
      <c r="C15" s="1115" t="s">
        <v>947</v>
      </c>
      <c r="D15" s="45">
        <v>15</v>
      </c>
    </row>
    <row r="16" spans="1:4" ht="30" customHeight="1">
      <c r="A16" s="2">
        <v>12</v>
      </c>
      <c r="B16" s="41" t="s">
        <v>948</v>
      </c>
      <c r="C16" s="1115" t="s">
        <v>949</v>
      </c>
      <c r="D16" s="45">
        <v>14</v>
      </c>
    </row>
    <row r="17" spans="1:4" ht="30" customHeight="1">
      <c r="A17" s="2">
        <v>13</v>
      </c>
      <c r="B17" s="41" t="s">
        <v>950</v>
      </c>
      <c r="C17" s="1115" t="s">
        <v>951</v>
      </c>
      <c r="D17" s="45">
        <v>3</v>
      </c>
    </row>
    <row r="18" spans="1:4" ht="30" customHeight="1">
      <c r="A18" s="41"/>
      <c r="B18" s="40" t="s">
        <v>952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165" t="s">
        <v>0</v>
      </c>
      <c r="B1" s="1165"/>
      <c r="C1" s="1165"/>
      <c r="D1" s="1165"/>
    </row>
    <row r="2" spans="1:4" ht="48.95" customHeight="1">
      <c r="A2" s="1165" t="s">
        <v>953</v>
      </c>
      <c r="B2" s="1165"/>
      <c r="C2" s="1165"/>
      <c r="D2" s="1165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926</v>
      </c>
    </row>
    <row r="5" spans="1:4" ht="24.95" customHeight="1">
      <c r="A5" s="2">
        <v>1</v>
      </c>
      <c r="B5" s="15" t="s">
        <v>927</v>
      </c>
      <c r="C5" s="784" t="s">
        <v>928</v>
      </c>
      <c r="D5" s="784">
        <v>1</v>
      </c>
    </row>
    <row r="6" spans="1:4" ht="24.95" customHeight="1">
      <c r="A6" s="2">
        <v>2</v>
      </c>
      <c r="B6" s="41" t="s">
        <v>929</v>
      </c>
      <c r="C6" s="1115" t="s">
        <v>930</v>
      </c>
      <c r="D6" s="45">
        <v>10</v>
      </c>
    </row>
    <row r="7" spans="1:4" ht="24.95" customHeight="1">
      <c r="A7" s="2">
        <v>3</v>
      </c>
      <c r="B7" s="41" t="s">
        <v>931</v>
      </c>
      <c r="C7" s="1115" t="s">
        <v>932</v>
      </c>
      <c r="D7" s="45">
        <v>15</v>
      </c>
    </row>
    <row r="8" spans="1:4" ht="24.95" customHeight="1">
      <c r="A8" s="2">
        <v>4</v>
      </c>
      <c r="B8" s="41" t="s">
        <v>933</v>
      </c>
      <c r="C8" s="1115" t="s">
        <v>934</v>
      </c>
      <c r="D8" s="45">
        <v>19</v>
      </c>
    </row>
    <row r="9" spans="1:4" ht="24.95" customHeight="1">
      <c r="A9" s="2">
        <v>5</v>
      </c>
      <c r="B9" s="41" t="s">
        <v>935</v>
      </c>
      <c r="C9" s="1115" t="s">
        <v>936</v>
      </c>
      <c r="D9" s="45">
        <v>13</v>
      </c>
    </row>
    <row r="10" spans="1:4" ht="24.95" customHeight="1">
      <c r="A10" s="2">
        <v>6</v>
      </c>
      <c r="B10" s="41" t="s">
        <v>937</v>
      </c>
      <c r="C10" s="1115" t="s">
        <v>938</v>
      </c>
      <c r="D10" s="45">
        <v>17</v>
      </c>
    </row>
    <row r="11" spans="1:4" ht="24.95" customHeight="1">
      <c r="A11" s="2">
        <v>7</v>
      </c>
      <c r="B11" s="41" t="s">
        <v>773</v>
      </c>
      <c r="C11" s="1115" t="s">
        <v>939</v>
      </c>
      <c r="D11" s="45">
        <v>26</v>
      </c>
    </row>
    <row r="12" spans="1:4" ht="24.95" customHeight="1">
      <c r="A12" s="2">
        <v>8</v>
      </c>
      <c r="B12" s="41" t="s">
        <v>940</v>
      </c>
      <c r="C12" s="1115" t="s">
        <v>941</v>
      </c>
      <c r="D12" s="45">
        <v>17</v>
      </c>
    </row>
    <row r="13" spans="1:4" ht="24.95" customHeight="1">
      <c r="A13" s="2">
        <v>9</v>
      </c>
      <c r="B13" s="41" t="s">
        <v>942</v>
      </c>
      <c r="C13" s="1115" t="s">
        <v>943</v>
      </c>
      <c r="D13" s="45">
        <v>30</v>
      </c>
    </row>
    <row r="14" spans="1:4" ht="24.95" customHeight="1">
      <c r="A14" s="2">
        <v>10</v>
      </c>
      <c r="B14" s="41" t="s">
        <v>944</v>
      </c>
      <c r="C14" s="1115" t="s">
        <v>945</v>
      </c>
      <c r="D14" s="45">
        <f>26+14</f>
        <v>40</v>
      </c>
    </row>
    <row r="15" spans="1:4" ht="24.95" customHeight="1">
      <c r="A15" s="2">
        <v>11</v>
      </c>
      <c r="B15" s="41" t="s">
        <v>946</v>
      </c>
      <c r="C15" s="1115" t="s">
        <v>947</v>
      </c>
      <c r="D15" s="45">
        <v>15</v>
      </c>
    </row>
    <row r="16" spans="1:4" ht="24.95" customHeight="1">
      <c r="A16" s="2">
        <v>12</v>
      </c>
      <c r="B16" s="41" t="s">
        <v>948</v>
      </c>
      <c r="C16" s="1115" t="s">
        <v>949</v>
      </c>
      <c r="D16" s="45">
        <v>14</v>
      </c>
    </row>
    <row r="17" spans="1:4" ht="24.95" customHeight="1">
      <c r="A17" s="2">
        <v>13</v>
      </c>
      <c r="B17" s="41" t="s">
        <v>950</v>
      </c>
      <c r="C17" s="1115" t="s">
        <v>951</v>
      </c>
      <c r="D17" s="45">
        <v>3</v>
      </c>
    </row>
    <row r="18" spans="1:4" ht="20.100000000000001" customHeight="1">
      <c r="A18" s="785"/>
      <c r="B18" s="786" t="s">
        <v>954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955</v>
      </c>
      <c r="C20" s="345"/>
      <c r="D20" s="345"/>
    </row>
    <row r="21" spans="1:4" ht="24.95" customHeight="1">
      <c r="A21" s="2">
        <v>1</v>
      </c>
      <c r="B21" s="41" t="s">
        <v>956</v>
      </c>
      <c r="C21" s="790" t="s">
        <v>928</v>
      </c>
      <c r="D21" s="45">
        <v>18</v>
      </c>
    </row>
    <row r="22" spans="1:4" ht="24.95" customHeight="1">
      <c r="A22" s="2">
        <v>2</v>
      </c>
      <c r="B22" s="41" t="s">
        <v>957</v>
      </c>
      <c r="C22" s="790" t="s">
        <v>928</v>
      </c>
      <c r="D22" s="45">
        <v>11</v>
      </c>
    </row>
    <row r="23" spans="1:4" ht="24.95" customHeight="1">
      <c r="A23" s="2">
        <v>3</v>
      </c>
      <c r="B23" s="41" t="s">
        <v>958</v>
      </c>
      <c r="C23" s="790" t="s">
        <v>928</v>
      </c>
      <c r="D23" s="45">
        <v>15</v>
      </c>
    </row>
    <row r="24" spans="1:4" ht="24.95" customHeight="1">
      <c r="A24" s="2">
        <v>4</v>
      </c>
      <c r="B24" s="41" t="s">
        <v>959</v>
      </c>
      <c r="C24" s="790" t="s">
        <v>928</v>
      </c>
      <c r="D24" s="45">
        <v>41</v>
      </c>
    </row>
    <row r="25" spans="1:4" ht="24.95" customHeight="1">
      <c r="A25" s="2">
        <v>5</v>
      </c>
      <c r="B25" s="41" t="s">
        <v>960</v>
      </c>
      <c r="C25" s="790" t="s">
        <v>928</v>
      </c>
      <c r="D25" s="45">
        <v>4</v>
      </c>
    </row>
    <row r="26" spans="1:4" ht="24.95" customHeight="1">
      <c r="A26" s="2">
        <v>6</v>
      </c>
      <c r="B26" s="41" t="s">
        <v>961</v>
      </c>
      <c r="C26" s="790" t="s">
        <v>928</v>
      </c>
      <c r="D26" s="45">
        <v>5</v>
      </c>
    </row>
    <row r="27" spans="1:4" ht="24.95" customHeight="1">
      <c r="A27" s="791"/>
      <c r="B27" s="792" t="s">
        <v>962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963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1124" t="s">
        <v>0</v>
      </c>
      <c r="B1" s="1124"/>
      <c r="C1" s="1124"/>
      <c r="D1" s="1124"/>
      <c r="E1" s="1124"/>
      <c r="F1" s="1124"/>
      <c r="G1" s="1124"/>
      <c r="H1" s="1124"/>
      <c r="I1" s="1124"/>
      <c r="J1" s="61"/>
    </row>
    <row r="2" spans="1:11" ht="33.75" customHeight="1">
      <c r="A2" s="61" t="s">
        <v>964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965</v>
      </c>
      <c r="F4" s="184" t="s">
        <v>966</v>
      </c>
      <c r="G4" s="184" t="s">
        <v>967</v>
      </c>
      <c r="H4" s="184" t="s">
        <v>968</v>
      </c>
      <c r="I4" s="184" t="s">
        <v>969</v>
      </c>
      <c r="J4" s="184" t="s">
        <v>970</v>
      </c>
      <c r="K4" s="774" t="s">
        <v>971</v>
      </c>
    </row>
    <row r="5" spans="1:11" ht="17.25" customHeight="1">
      <c r="C5" s="6"/>
      <c r="D5" s="6"/>
      <c r="E5" s="67" t="s">
        <v>21</v>
      </c>
      <c r="F5" s="67"/>
      <c r="G5" s="67" t="s">
        <v>21</v>
      </c>
      <c r="H5" s="67" t="s">
        <v>21</v>
      </c>
      <c r="I5" s="67" t="s">
        <v>21</v>
      </c>
      <c r="J5" s="67"/>
      <c r="K5" s="774" t="s">
        <v>972</v>
      </c>
    </row>
    <row r="6" spans="1:11" ht="20.100000000000001" customHeight="1">
      <c r="A6" s="7" t="s">
        <v>22</v>
      </c>
      <c r="B6" s="6" t="s">
        <v>23</v>
      </c>
      <c r="C6" s="6"/>
      <c r="D6" s="6"/>
      <c r="E6" s="67"/>
      <c r="F6" s="67"/>
      <c r="G6" s="767"/>
      <c r="H6" s="67"/>
      <c r="I6" s="19"/>
      <c r="J6" s="19"/>
      <c r="K6" s="774" t="s">
        <v>973</v>
      </c>
    </row>
    <row r="7" spans="1:11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974</v>
      </c>
    </row>
    <row r="8" spans="1:11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975</v>
      </c>
    </row>
    <row r="9" spans="1:11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340</v>
      </c>
    </row>
    <row r="10" spans="1:11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976</v>
      </c>
    </row>
    <row r="11" spans="1:11" ht="20.100000000000001" customHeight="1">
      <c r="A11" s="8">
        <v>6</v>
      </c>
      <c r="B11" s="9" t="s">
        <v>34</v>
      </c>
      <c r="C11" s="10" t="s">
        <v>893</v>
      </c>
      <c r="D11" s="13" t="s">
        <v>39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977</v>
      </c>
    </row>
    <row r="12" spans="1:11" ht="20.100000000000001" customHeight="1">
      <c r="A12" s="8">
        <v>7</v>
      </c>
      <c r="B12" s="9" t="s">
        <v>37</v>
      </c>
      <c r="C12" s="2" t="s">
        <v>38</v>
      </c>
      <c r="D12" s="8" t="s">
        <v>42</v>
      </c>
      <c r="E12" s="70">
        <v>582118.08333333302</v>
      </c>
      <c r="F12" s="8" t="s">
        <v>50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978</v>
      </c>
    </row>
    <row r="13" spans="1:11" ht="20.100000000000001" customHeight="1">
      <c r="A13" s="8">
        <v>8</v>
      </c>
      <c r="B13" s="9" t="s">
        <v>40</v>
      </c>
      <c r="C13" s="2" t="s">
        <v>619</v>
      </c>
      <c r="D13" s="13" t="s">
        <v>191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979</v>
      </c>
    </row>
    <row r="14" spans="1:11" ht="20.100000000000001" customHeight="1">
      <c r="A14" s="8">
        <v>9</v>
      </c>
      <c r="B14" s="12" t="s">
        <v>43</v>
      </c>
      <c r="C14" s="15" t="s">
        <v>44</v>
      </c>
      <c r="D14" s="13" t="s">
        <v>42</v>
      </c>
      <c r="E14" s="70">
        <v>582118.08333333302</v>
      </c>
      <c r="F14" s="8" t="s">
        <v>50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980</v>
      </c>
    </row>
    <row r="15" spans="1:11" ht="20.100000000000001" customHeight="1">
      <c r="A15" s="8">
        <v>10</v>
      </c>
      <c r="B15" s="9" t="s">
        <v>45</v>
      </c>
      <c r="C15" s="2" t="s">
        <v>46</v>
      </c>
      <c r="D15" s="8" t="s">
        <v>53</v>
      </c>
      <c r="E15" s="70">
        <v>442746.5</v>
      </c>
      <c r="F15" s="8" t="s">
        <v>214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309</v>
      </c>
    </row>
    <row r="16" spans="1:11" ht="20.100000000000001" customHeight="1">
      <c r="A16" s="8">
        <v>11</v>
      </c>
      <c r="B16" s="9" t="s">
        <v>48</v>
      </c>
      <c r="C16" s="2" t="s">
        <v>49</v>
      </c>
      <c r="D16" s="8" t="s">
        <v>42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981</v>
      </c>
    </row>
    <row r="17" spans="1:11" ht="20.100000000000001" customHeight="1">
      <c r="A17" s="8">
        <v>12</v>
      </c>
      <c r="B17" s="9" t="s">
        <v>51</v>
      </c>
      <c r="C17" s="10" t="s">
        <v>61</v>
      </c>
      <c r="D17" s="13" t="s">
        <v>575</v>
      </c>
      <c r="E17" s="70">
        <v>428915.91666666698</v>
      </c>
      <c r="F17" s="13" t="s">
        <v>56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982</v>
      </c>
    </row>
    <row r="18" spans="1:11" ht="20.100000000000001" customHeight="1">
      <c r="A18" s="8">
        <v>13</v>
      </c>
      <c r="B18" s="16" t="s">
        <v>54</v>
      </c>
      <c r="C18" s="2" t="s">
        <v>55</v>
      </c>
      <c r="D18" s="13" t="s">
        <v>59</v>
      </c>
      <c r="E18" s="70">
        <v>416026.91666666698</v>
      </c>
      <c r="F18" s="13" t="s">
        <v>620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983</v>
      </c>
    </row>
    <row r="19" spans="1:11" ht="20.100000000000001" customHeight="1">
      <c r="A19" s="8">
        <v>14</v>
      </c>
      <c r="B19" s="16" t="s">
        <v>57</v>
      </c>
      <c r="C19" s="2" t="s">
        <v>58</v>
      </c>
      <c r="D19" s="13" t="s">
        <v>984</v>
      </c>
      <c r="E19" s="630">
        <f>'[5]Annual &amp; Monthly'!$H$40</f>
        <v>390248.91666666698</v>
      </c>
      <c r="F19" s="13" t="s">
        <v>576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985</v>
      </c>
    </row>
    <row r="20" spans="1:11" ht="20.100000000000001" customHeight="1">
      <c r="A20" s="8">
        <v>15</v>
      </c>
      <c r="B20" s="16" t="s">
        <v>60</v>
      </c>
      <c r="C20" s="2" t="s">
        <v>61</v>
      </c>
      <c r="D20" s="13" t="s">
        <v>984</v>
      </c>
      <c r="E20" s="630">
        <v>390248.91666666698</v>
      </c>
      <c r="F20" s="13" t="s">
        <v>576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986</v>
      </c>
    </row>
    <row r="21" spans="1:11" ht="20.100000000000001" customHeight="1">
      <c r="A21" s="25">
        <v>11</v>
      </c>
      <c r="B21" s="9" t="s">
        <v>62</v>
      </c>
      <c r="C21" s="10" t="s">
        <v>621</v>
      </c>
      <c r="D21" s="13" t="s">
        <v>172</v>
      </c>
      <c r="E21" s="70">
        <v>390086.5</v>
      </c>
      <c r="F21" s="13" t="s">
        <v>261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192</v>
      </c>
    </row>
    <row r="22" spans="1:11" ht="18.75" customHeight="1">
      <c r="A22" s="8">
        <v>16</v>
      </c>
      <c r="B22" s="9" t="s">
        <v>65</v>
      </c>
      <c r="C22" s="10" t="s">
        <v>177</v>
      </c>
      <c r="D22" s="13" t="s">
        <v>70</v>
      </c>
      <c r="E22" s="70">
        <v>377895.16666666698</v>
      </c>
      <c r="F22" s="13" t="s">
        <v>172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68</v>
      </c>
      <c r="C23" s="15" t="s">
        <v>69</v>
      </c>
      <c r="D23" s="8" t="s">
        <v>179</v>
      </c>
      <c r="E23" s="70">
        <v>353512.5</v>
      </c>
      <c r="F23" s="8" t="s">
        <v>131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71</v>
      </c>
      <c r="C24" s="15" t="s">
        <v>72</v>
      </c>
      <c r="D24" s="13" t="s">
        <v>179</v>
      </c>
      <c r="E24" s="70">
        <v>353512.5</v>
      </c>
      <c r="F24" s="13" t="s">
        <v>131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76</v>
      </c>
      <c r="C26" s="15" t="s">
        <v>77</v>
      </c>
      <c r="D26" s="8" t="s">
        <v>81</v>
      </c>
      <c r="E26" s="70">
        <v>293029.66666666698</v>
      </c>
      <c r="F26" s="8" t="s">
        <v>75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483</v>
      </c>
      <c r="C27" s="2" t="s">
        <v>94</v>
      </c>
      <c r="D27" s="8" t="s">
        <v>86</v>
      </c>
      <c r="E27" s="70">
        <v>270481.66666666698</v>
      </c>
      <c r="F27" s="8" t="s">
        <v>154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79</v>
      </c>
      <c r="C28" s="10" t="s">
        <v>94</v>
      </c>
      <c r="D28" s="13" t="s">
        <v>86</v>
      </c>
      <c r="E28" s="70">
        <v>270481.66666666698</v>
      </c>
      <c r="F28" s="13" t="s">
        <v>154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82</v>
      </c>
      <c r="C29" s="15" t="s">
        <v>69</v>
      </c>
      <c r="D29" s="8" t="s">
        <v>86</v>
      </c>
      <c r="E29" s="70">
        <v>270481.66666666698</v>
      </c>
      <c r="F29" s="8" t="s">
        <v>154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84</v>
      </c>
      <c r="C30" s="10" t="s">
        <v>85</v>
      </c>
      <c r="D30" s="13" t="s">
        <v>99</v>
      </c>
      <c r="E30" s="70">
        <v>263165.33333333302</v>
      </c>
      <c r="F30" s="13" t="s">
        <v>86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87</v>
      </c>
      <c r="C31" s="2" t="s">
        <v>88</v>
      </c>
      <c r="D31" s="8" t="s">
        <v>225</v>
      </c>
      <c r="E31" s="70">
        <v>255849</v>
      </c>
      <c r="F31" s="8" t="s">
        <v>99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89</v>
      </c>
      <c r="C32" s="2" t="s">
        <v>88</v>
      </c>
      <c r="D32" s="8" t="s">
        <v>225</v>
      </c>
      <c r="E32" s="70">
        <v>255849</v>
      </c>
      <c r="F32" s="8" t="s">
        <v>99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91</v>
      </c>
      <c r="C33" s="15" t="s">
        <v>622</v>
      </c>
      <c r="D33" s="13" t="s">
        <v>86</v>
      </c>
      <c r="E33" s="70">
        <v>270481.66666666698</v>
      </c>
      <c r="F33" s="13" t="s">
        <v>154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93</v>
      </c>
      <c r="C34" s="2" t="s">
        <v>94</v>
      </c>
      <c r="D34" s="8" t="s">
        <v>225</v>
      </c>
      <c r="E34" s="70">
        <v>255849</v>
      </c>
      <c r="F34" s="8" t="s">
        <v>99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95</v>
      </c>
      <c r="C35" s="2" t="s">
        <v>623</v>
      </c>
      <c r="D35" s="8" t="s">
        <v>225</v>
      </c>
      <c r="E35" s="70">
        <v>255849</v>
      </c>
      <c r="F35" s="8" t="s">
        <v>99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103</v>
      </c>
      <c r="C36" s="10" t="s">
        <v>104</v>
      </c>
      <c r="D36" s="13" t="s">
        <v>111</v>
      </c>
      <c r="E36" s="70">
        <v>224459.75</v>
      </c>
      <c r="F36" s="13" t="s">
        <v>108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106</v>
      </c>
      <c r="C37" s="10" t="s">
        <v>107</v>
      </c>
      <c r="D37" s="13" t="s">
        <v>277</v>
      </c>
      <c r="E37" s="630">
        <v>218287.58333333299</v>
      </c>
      <c r="F37" s="13" t="s">
        <v>111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120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121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122</v>
      </c>
      <c r="C41" s="2" t="s">
        <v>123</v>
      </c>
      <c r="D41" s="8" t="s">
        <v>124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127</v>
      </c>
      <c r="C42" s="2" t="s">
        <v>128</v>
      </c>
      <c r="D42" s="8" t="s">
        <v>81</v>
      </c>
      <c r="E42" s="70">
        <v>293029.66666666698</v>
      </c>
      <c r="F42" s="8" t="s">
        <v>75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129</v>
      </c>
      <c r="C43" s="2" t="s">
        <v>128</v>
      </c>
      <c r="D43" s="13" t="s">
        <v>75</v>
      </c>
      <c r="E43" s="70">
        <v>300965.58333333302</v>
      </c>
      <c r="F43" s="13" t="s">
        <v>78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133</v>
      </c>
      <c r="C44" s="2" t="s">
        <v>134</v>
      </c>
      <c r="D44" s="13" t="s">
        <v>225</v>
      </c>
      <c r="E44" s="630">
        <f>'[5]Annual &amp; Monthly'!$H$37</f>
        <v>255849</v>
      </c>
      <c r="F44" s="13" t="s">
        <v>99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137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138</v>
      </c>
      <c r="C48" s="2" t="s">
        <v>624</v>
      </c>
      <c r="D48" s="8" t="s">
        <v>209</v>
      </c>
      <c r="E48" s="70">
        <v>739203.58333333302</v>
      </c>
      <c r="F48" s="8" t="s">
        <v>36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141</v>
      </c>
      <c r="C49" s="2" t="s">
        <v>142</v>
      </c>
      <c r="D49" s="8" t="s">
        <v>39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143</v>
      </c>
      <c r="C50" s="2" t="s">
        <v>142</v>
      </c>
      <c r="D50" s="8" t="s">
        <v>39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144</v>
      </c>
      <c r="C51" s="2" t="s">
        <v>142</v>
      </c>
      <c r="D51" s="8" t="s">
        <v>42</v>
      </c>
      <c r="E51" s="70">
        <v>582118.08333333302</v>
      </c>
      <c r="F51" s="8" t="s">
        <v>50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145</v>
      </c>
      <c r="C52" s="2" t="s">
        <v>142</v>
      </c>
      <c r="D52" s="8" t="s">
        <v>42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987</v>
      </c>
    </row>
    <row r="53" spans="1:10" ht="20.100000000000001" customHeight="1">
      <c r="A53" s="8">
        <v>7</v>
      </c>
      <c r="B53" s="9" t="s">
        <v>149</v>
      </c>
      <c r="C53" s="2" t="s">
        <v>150</v>
      </c>
      <c r="D53" s="8" t="s">
        <v>75</v>
      </c>
      <c r="E53" s="70">
        <v>300965.58333333302</v>
      </c>
      <c r="F53" s="8" t="s">
        <v>78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153</v>
      </c>
      <c r="C54" s="2" t="s">
        <v>150</v>
      </c>
      <c r="D54" s="8" t="s">
        <v>99</v>
      </c>
      <c r="E54" s="70">
        <v>263165.33333333302</v>
      </c>
      <c r="F54" s="8" t="s">
        <v>86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155</v>
      </c>
      <c r="C55" s="2" t="s">
        <v>150</v>
      </c>
      <c r="D55" s="8" t="s">
        <v>99</v>
      </c>
      <c r="E55" s="70">
        <v>263165.33333333302</v>
      </c>
      <c r="F55" s="8" t="s">
        <v>86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120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157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158</v>
      </c>
      <c r="C59" s="10" t="s">
        <v>159</v>
      </c>
      <c r="D59" s="13" t="s">
        <v>124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160</v>
      </c>
      <c r="C60" s="10" t="s">
        <v>161</v>
      </c>
      <c r="D60" s="13" t="s">
        <v>162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120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163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164</v>
      </c>
      <c r="C64" s="2" t="s">
        <v>165</v>
      </c>
      <c r="D64" s="8" t="s">
        <v>36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166</v>
      </c>
      <c r="C65" s="2" t="s">
        <v>52</v>
      </c>
      <c r="D65" s="8" t="s">
        <v>53</v>
      </c>
      <c r="E65" s="70">
        <v>442746.5</v>
      </c>
      <c r="F65" s="8" t="s">
        <v>214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170</v>
      </c>
      <c r="C66" s="2" t="s">
        <v>150</v>
      </c>
      <c r="D66" s="8" t="s">
        <v>131</v>
      </c>
      <c r="E66" s="70">
        <v>365703.83333333302</v>
      </c>
      <c r="F66" s="8" t="s">
        <v>70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171</v>
      </c>
      <c r="C67" s="15" t="s">
        <v>72</v>
      </c>
      <c r="D67" s="8" t="s">
        <v>131</v>
      </c>
      <c r="E67" s="70">
        <v>365703.83333333302</v>
      </c>
      <c r="F67" s="8" t="s">
        <v>70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173</v>
      </c>
      <c r="C68" s="15" t="s">
        <v>72</v>
      </c>
      <c r="D68" s="8" t="s">
        <v>131</v>
      </c>
      <c r="E68" s="70">
        <v>365703.83333333302</v>
      </c>
      <c r="F68" s="8" t="s">
        <v>70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174</v>
      </c>
      <c r="C69" s="2" t="s">
        <v>625</v>
      </c>
      <c r="D69" s="8" t="s">
        <v>70</v>
      </c>
      <c r="E69" s="417">
        <v>377895.16666666698</v>
      </c>
      <c r="F69" s="8" t="s">
        <v>172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178</v>
      </c>
      <c r="C70" s="2" t="s">
        <v>150</v>
      </c>
      <c r="D70" s="8" t="s">
        <v>75</v>
      </c>
      <c r="E70" s="186">
        <v>300965.58333333302</v>
      </c>
      <c r="F70" s="8" t="s">
        <v>78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120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182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183</v>
      </c>
      <c r="C74" s="2" t="s">
        <v>184</v>
      </c>
      <c r="D74" s="8" t="s">
        <v>124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187</v>
      </c>
      <c r="C75" s="2" t="s">
        <v>188</v>
      </c>
      <c r="D75" s="8" t="s">
        <v>42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189</v>
      </c>
      <c r="C76" s="2" t="s">
        <v>190</v>
      </c>
      <c r="D76" s="13" t="s">
        <v>214</v>
      </c>
      <c r="E76" s="70">
        <v>456622.25</v>
      </c>
      <c r="F76" s="13" t="s">
        <v>47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196</v>
      </c>
      <c r="C77" s="2" t="s">
        <v>197</v>
      </c>
      <c r="D77" s="8" t="s">
        <v>179</v>
      </c>
      <c r="E77" s="70">
        <v>353512.5</v>
      </c>
      <c r="F77" s="155" t="s">
        <v>131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987</v>
      </c>
    </row>
    <row r="78" spans="1:10" ht="20.100000000000001" customHeight="1">
      <c r="A78" s="8">
        <v>5</v>
      </c>
      <c r="B78" s="9" t="s">
        <v>200</v>
      </c>
      <c r="C78" s="2" t="s">
        <v>181</v>
      </c>
      <c r="D78" s="8" t="s">
        <v>99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987</v>
      </c>
    </row>
    <row r="79" spans="1:10" ht="20.100000000000001" customHeight="1">
      <c r="A79" s="8">
        <v>6</v>
      </c>
      <c r="B79" s="9" t="s">
        <v>202</v>
      </c>
      <c r="C79" s="2" t="s">
        <v>203</v>
      </c>
      <c r="D79" s="8" t="s">
        <v>111</v>
      </c>
      <c r="E79" s="70">
        <v>224459.75</v>
      </c>
      <c r="F79" s="8" t="s">
        <v>108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120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204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205</v>
      </c>
      <c r="C83" s="2" t="s">
        <v>142</v>
      </c>
      <c r="D83" s="8" t="s">
        <v>578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207</v>
      </c>
      <c r="C84" s="2" t="s">
        <v>142</v>
      </c>
      <c r="D84" s="8" t="s">
        <v>39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210</v>
      </c>
      <c r="C85" s="2" t="s">
        <v>142</v>
      </c>
      <c r="D85" s="8" t="s">
        <v>42</v>
      </c>
      <c r="E85" s="70">
        <v>582118.08333333302</v>
      </c>
      <c r="F85" s="8" t="s">
        <v>50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211</v>
      </c>
      <c r="C86" s="2" t="s">
        <v>52</v>
      </c>
      <c r="D86" s="13" t="s">
        <v>53</v>
      </c>
      <c r="E86" s="70">
        <v>442746.5</v>
      </c>
      <c r="F86" s="779" t="s">
        <v>214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987</v>
      </c>
    </row>
    <row r="87" spans="1:10" ht="21.6" customHeight="1">
      <c r="A87" s="8">
        <v>5</v>
      </c>
      <c r="B87" s="9" t="s">
        <v>212</v>
      </c>
      <c r="C87" s="2" t="s">
        <v>52</v>
      </c>
      <c r="D87" s="13" t="s">
        <v>53</v>
      </c>
      <c r="E87" s="70">
        <v>442746.5</v>
      </c>
      <c r="F87" s="13" t="s">
        <v>214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213</v>
      </c>
      <c r="C88" s="10" t="s">
        <v>52</v>
      </c>
      <c r="D88" s="13" t="s">
        <v>574</v>
      </c>
      <c r="E88" s="70">
        <v>428870.75</v>
      </c>
      <c r="F88" s="13" t="s">
        <v>53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215</v>
      </c>
      <c r="C89" s="15" t="s">
        <v>72</v>
      </c>
      <c r="D89" s="13" t="s">
        <v>131</v>
      </c>
      <c r="E89" s="70">
        <v>365703.83333333302</v>
      </c>
      <c r="F89" s="13" t="s">
        <v>70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216</v>
      </c>
      <c r="C90" s="15" t="s">
        <v>217</v>
      </c>
      <c r="D90" s="13" t="s">
        <v>67</v>
      </c>
      <c r="E90" s="70">
        <v>390248.91666666698</v>
      </c>
      <c r="F90" s="13" t="s">
        <v>64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220</v>
      </c>
      <c r="C91" s="2" t="s">
        <v>221</v>
      </c>
      <c r="D91" s="8" t="s">
        <v>75</v>
      </c>
      <c r="E91" s="186">
        <v>300965.58333333302</v>
      </c>
      <c r="F91" s="8" t="s">
        <v>78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224</v>
      </c>
      <c r="C92" s="15" t="s">
        <v>554</v>
      </c>
      <c r="D92" s="13" t="s">
        <v>108</v>
      </c>
      <c r="E92" s="186">
        <v>230631.91666666701</v>
      </c>
      <c r="F92" s="13" t="s">
        <v>105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120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226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227</v>
      </c>
      <c r="C96" s="2" t="s">
        <v>626</v>
      </c>
      <c r="D96" s="14" t="s">
        <v>577</v>
      </c>
      <c r="E96" s="70">
        <f>'[5]Annual &amp; Monthly'!$H$44</f>
        <v>1352042.66666667</v>
      </c>
      <c r="F96" s="14" t="s">
        <v>140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229</v>
      </c>
      <c r="C97" s="2" t="s">
        <v>230</v>
      </c>
      <c r="D97" s="13" t="s">
        <v>214</v>
      </c>
      <c r="E97" s="70">
        <v>456622.25</v>
      </c>
      <c r="F97" s="13" t="s">
        <v>47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231</v>
      </c>
      <c r="C98" s="10" t="s">
        <v>232</v>
      </c>
      <c r="D98" s="13" t="s">
        <v>67</v>
      </c>
      <c r="E98" s="70">
        <v>390248.91666666698</v>
      </c>
      <c r="F98" s="13" t="s">
        <v>64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235</v>
      </c>
      <c r="C99" s="2" t="s">
        <v>627</v>
      </c>
      <c r="D99" s="13" t="s">
        <v>70</v>
      </c>
      <c r="E99" s="70">
        <v>377895.16666666698</v>
      </c>
      <c r="F99" s="13" t="s">
        <v>172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236</v>
      </c>
      <c r="C100" s="2" t="s">
        <v>199</v>
      </c>
      <c r="D100" s="13" t="s">
        <v>75</v>
      </c>
      <c r="E100" s="186">
        <v>300965.58333333302</v>
      </c>
      <c r="F100" s="13" t="s">
        <v>78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120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239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628</v>
      </c>
      <c r="C104" s="10" t="s">
        <v>241</v>
      </c>
      <c r="D104" s="13" t="s">
        <v>124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242</v>
      </c>
      <c r="C105" s="2" t="s">
        <v>243</v>
      </c>
      <c r="D105" s="14" t="s">
        <v>36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244</v>
      </c>
      <c r="C106" s="2" t="s">
        <v>629</v>
      </c>
      <c r="D106" s="8" t="s">
        <v>56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246</v>
      </c>
      <c r="C107" s="2" t="s">
        <v>629</v>
      </c>
      <c r="D107" s="8" t="s">
        <v>56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249</v>
      </c>
      <c r="C108" s="2" t="s">
        <v>250</v>
      </c>
      <c r="D108" s="13" t="s">
        <v>911</v>
      </c>
      <c r="E108" s="186">
        <v>249148.41666666701</v>
      </c>
      <c r="F108" s="13" t="s">
        <v>579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252</v>
      </c>
      <c r="C109" s="2" t="s">
        <v>250</v>
      </c>
      <c r="D109" s="8" t="s">
        <v>517</v>
      </c>
      <c r="E109" s="186">
        <v>242976.25</v>
      </c>
      <c r="F109" s="781" t="s">
        <v>911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253</v>
      </c>
      <c r="C110" s="2" t="s">
        <v>250</v>
      </c>
      <c r="D110" s="13" t="s">
        <v>108</v>
      </c>
      <c r="E110" s="186">
        <v>230631.91666666701</v>
      </c>
      <c r="F110" s="13" t="s">
        <v>105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120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257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259</v>
      </c>
      <c r="C114" s="2" t="s">
        <v>260</v>
      </c>
      <c r="D114" s="13" t="s">
        <v>70</v>
      </c>
      <c r="E114" s="70">
        <v>377895.16666666698</v>
      </c>
      <c r="F114" s="13" t="s">
        <v>172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192</v>
      </c>
      <c r="C115" s="10" t="s">
        <v>193</v>
      </c>
      <c r="D115" s="13" t="s">
        <v>67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120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268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988</v>
      </c>
      <c r="C119" s="2" t="s">
        <v>989</v>
      </c>
      <c r="D119" s="8" t="s">
        <v>277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273</v>
      </c>
      <c r="C120" s="2" t="s">
        <v>274</v>
      </c>
      <c r="D120" s="8" t="s">
        <v>277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278</v>
      </c>
      <c r="C121" s="2" t="s">
        <v>279</v>
      </c>
      <c r="D121" s="8" t="s">
        <v>277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120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280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281</v>
      </c>
      <c r="C125" s="10" t="s">
        <v>282</v>
      </c>
      <c r="D125" s="13" t="s">
        <v>124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283</v>
      </c>
      <c r="C126" s="10" t="s">
        <v>630</v>
      </c>
      <c r="D126" s="13" t="s">
        <v>209</v>
      </c>
      <c r="E126" s="70">
        <v>739203.58333333302</v>
      </c>
      <c r="F126" s="13" t="s">
        <v>36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285</v>
      </c>
      <c r="C127" s="10" t="s">
        <v>631</v>
      </c>
      <c r="D127" s="13" t="s">
        <v>39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288</v>
      </c>
      <c r="C128" s="10" t="s">
        <v>290</v>
      </c>
      <c r="D128" s="13" t="s">
        <v>47</v>
      </c>
      <c r="E128" s="70">
        <v>470498</v>
      </c>
      <c r="F128" s="13" t="s">
        <v>191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289</v>
      </c>
      <c r="C129" s="10" t="s">
        <v>632</v>
      </c>
      <c r="D129" s="13" t="s">
        <v>53</v>
      </c>
      <c r="E129" s="70">
        <v>442746.5</v>
      </c>
      <c r="F129" s="13" t="s">
        <v>214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291</v>
      </c>
      <c r="C130" s="10" t="s">
        <v>290</v>
      </c>
      <c r="D130" s="13" t="s">
        <v>214</v>
      </c>
      <c r="E130" s="70">
        <v>456622.25</v>
      </c>
      <c r="F130" s="13" t="s">
        <v>47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294</v>
      </c>
      <c r="C131" s="10" t="s">
        <v>633</v>
      </c>
      <c r="D131" s="8" t="s">
        <v>86</v>
      </c>
      <c r="E131" s="70">
        <v>270481.66666666698</v>
      </c>
      <c r="F131" s="8" t="s">
        <v>154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296</v>
      </c>
      <c r="C132" s="10" t="s">
        <v>297</v>
      </c>
      <c r="D132" s="13" t="s">
        <v>111</v>
      </c>
      <c r="E132" s="70">
        <v>224459.75</v>
      </c>
      <c r="F132" s="13" t="s">
        <v>108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298</v>
      </c>
      <c r="C133" s="10" t="s">
        <v>293</v>
      </c>
      <c r="D133" s="13" t="s">
        <v>111</v>
      </c>
      <c r="E133" s="70">
        <v>224459.75</v>
      </c>
      <c r="F133" s="13" t="s">
        <v>108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299</v>
      </c>
      <c r="C134" s="10" t="s">
        <v>297</v>
      </c>
      <c r="D134" s="13" t="s">
        <v>277</v>
      </c>
      <c r="E134" s="70">
        <v>218287.58333333299</v>
      </c>
      <c r="F134" s="13" t="s">
        <v>111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120</v>
      </c>
      <c r="C135" s="24" t="s">
        <v>634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301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302</v>
      </c>
      <c r="C138" s="2" t="s">
        <v>303</v>
      </c>
      <c r="D138" s="8" t="s">
        <v>580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305</v>
      </c>
      <c r="C139" s="2" t="s">
        <v>306</v>
      </c>
      <c r="D139" s="14" t="s">
        <v>36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307</v>
      </c>
      <c r="C140" s="10" t="s">
        <v>308</v>
      </c>
      <c r="D140" s="13" t="s">
        <v>42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309</v>
      </c>
      <c r="C141" s="2" t="s">
        <v>310</v>
      </c>
      <c r="D141" s="13" t="s">
        <v>42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311</v>
      </c>
      <c r="C142" s="2" t="s">
        <v>310</v>
      </c>
      <c r="D142" s="13" t="s">
        <v>42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314</v>
      </c>
      <c r="C143" s="10" t="s">
        <v>232</v>
      </c>
      <c r="D143" s="13" t="s">
        <v>67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315</v>
      </c>
      <c r="C144" s="2" t="s">
        <v>635</v>
      </c>
      <c r="D144" s="13" t="s">
        <v>67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317</v>
      </c>
      <c r="C145" s="10" t="s">
        <v>636</v>
      </c>
      <c r="D145" s="13" t="s">
        <v>70</v>
      </c>
      <c r="E145" s="70">
        <v>377895.16666666698</v>
      </c>
      <c r="F145" s="13" t="s">
        <v>172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319</v>
      </c>
      <c r="C146" s="10" t="s">
        <v>320</v>
      </c>
      <c r="D146" s="13" t="s">
        <v>131</v>
      </c>
      <c r="E146" s="70">
        <v>365703.83333333302</v>
      </c>
      <c r="F146" s="13" t="s">
        <v>70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321</v>
      </c>
      <c r="C147" s="2" t="s">
        <v>322</v>
      </c>
      <c r="D147" s="13" t="s">
        <v>179</v>
      </c>
      <c r="E147" s="186">
        <v>353512.5</v>
      </c>
      <c r="F147" s="13" t="s">
        <v>131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323</v>
      </c>
      <c r="C148" s="2" t="s">
        <v>322</v>
      </c>
      <c r="D148" s="13" t="s">
        <v>179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324</v>
      </c>
      <c r="C149" s="2" t="s">
        <v>322</v>
      </c>
      <c r="D149" s="13" t="s">
        <v>179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326</v>
      </c>
      <c r="C150" s="2" t="s">
        <v>322</v>
      </c>
      <c r="D150" s="13" t="s">
        <v>179</v>
      </c>
      <c r="E150" s="186">
        <v>353512.5</v>
      </c>
      <c r="F150" s="13" t="s">
        <v>131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13" t="s">
        <v>78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329</v>
      </c>
      <c r="C152" s="10" t="s">
        <v>330</v>
      </c>
      <c r="D152" s="8" t="s">
        <v>99</v>
      </c>
      <c r="E152" s="70">
        <v>263165.33333333302</v>
      </c>
      <c r="F152" s="8" t="s">
        <v>86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331</v>
      </c>
      <c r="C153" s="10" t="s">
        <v>637</v>
      </c>
      <c r="D153" s="13" t="s">
        <v>78</v>
      </c>
      <c r="E153" s="186">
        <v>308901.5</v>
      </c>
      <c r="F153" s="13" t="s">
        <v>151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333</v>
      </c>
      <c r="C154" s="10" t="s">
        <v>638</v>
      </c>
      <c r="D154" s="13" t="s">
        <v>86</v>
      </c>
      <c r="E154" s="186">
        <v>270481.66666666698</v>
      </c>
      <c r="F154" s="13" t="s">
        <v>154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335</v>
      </c>
      <c r="C155" s="10" t="s">
        <v>639</v>
      </c>
      <c r="D155" s="13" t="s">
        <v>78</v>
      </c>
      <c r="E155" s="186">
        <v>308901.5</v>
      </c>
      <c r="F155" s="13" t="s">
        <v>151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336</v>
      </c>
      <c r="C156" s="10" t="s">
        <v>640</v>
      </c>
      <c r="D156" s="13" t="s">
        <v>86</v>
      </c>
      <c r="E156" s="186">
        <v>270481.66666666698</v>
      </c>
      <c r="F156" s="13" t="s">
        <v>154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338</v>
      </c>
      <c r="C157" s="10" t="s">
        <v>339</v>
      </c>
      <c r="D157" s="13" t="s">
        <v>225</v>
      </c>
      <c r="E157" s="186">
        <v>255849</v>
      </c>
      <c r="F157" s="13" t="s">
        <v>99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340</v>
      </c>
      <c r="C158" s="10" t="s">
        <v>339</v>
      </c>
      <c r="D158" s="13" t="s">
        <v>225</v>
      </c>
      <c r="E158" s="186">
        <v>255849</v>
      </c>
      <c r="F158" s="13" t="s">
        <v>99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345</v>
      </c>
      <c r="C159" s="10" t="s">
        <v>346</v>
      </c>
      <c r="D159" s="13" t="s">
        <v>111</v>
      </c>
      <c r="E159" s="70">
        <v>224459.75</v>
      </c>
      <c r="F159" s="13" t="s">
        <v>108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347</v>
      </c>
      <c r="C160" s="10" t="s">
        <v>348</v>
      </c>
      <c r="D160" s="13" t="s">
        <v>111</v>
      </c>
      <c r="E160" s="70">
        <v>224459.75</v>
      </c>
      <c r="F160" s="13" t="s">
        <v>108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349</v>
      </c>
      <c r="C161" s="10" t="s">
        <v>350</v>
      </c>
      <c r="D161" s="13" t="s">
        <v>111</v>
      </c>
      <c r="E161" s="70">
        <v>224459.75</v>
      </c>
      <c r="F161" s="13" t="s">
        <v>108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351</v>
      </c>
      <c r="C162" s="10" t="s">
        <v>641</v>
      </c>
      <c r="D162" s="13" t="s">
        <v>108</v>
      </c>
      <c r="E162" s="70">
        <v>230631.91666666701</v>
      </c>
      <c r="F162" s="13" t="s">
        <v>105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352</v>
      </c>
      <c r="C163" s="10" t="s">
        <v>348</v>
      </c>
      <c r="D163" s="13" t="s">
        <v>111</v>
      </c>
      <c r="E163" s="70">
        <v>224459.75</v>
      </c>
      <c r="F163" s="13" t="s">
        <v>108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353</v>
      </c>
      <c r="C164" s="10" t="s">
        <v>354</v>
      </c>
      <c r="D164" s="13" t="s">
        <v>277</v>
      </c>
      <c r="E164" s="630">
        <f>218287.583333333</f>
        <v>218287.58333333299</v>
      </c>
      <c r="F164" s="13" t="s">
        <v>111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355</v>
      </c>
      <c r="C165" s="10" t="s">
        <v>354</v>
      </c>
      <c r="D165" s="13" t="s">
        <v>277</v>
      </c>
      <c r="E165" s="630">
        <f>218287.583333333</f>
        <v>218287.58333333299</v>
      </c>
      <c r="F165" s="13" t="s">
        <v>111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361</v>
      </c>
      <c r="C166" s="10" t="s">
        <v>556</v>
      </c>
      <c r="D166" s="13" t="s">
        <v>386</v>
      </c>
      <c r="E166" s="192">
        <v>168598.16666666701</v>
      </c>
      <c r="F166" s="13" t="s">
        <v>374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364</v>
      </c>
      <c r="C167" s="10" t="s">
        <v>556</v>
      </c>
      <c r="D167" s="13" t="s">
        <v>386</v>
      </c>
      <c r="E167" s="192">
        <v>168598.16666666701</v>
      </c>
      <c r="F167" s="13" t="s">
        <v>374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642</v>
      </c>
      <c r="C168" s="10" t="s">
        <v>556</v>
      </c>
      <c r="D168" s="13" t="s">
        <v>386</v>
      </c>
      <c r="E168" s="192">
        <v>168598.16666666701</v>
      </c>
      <c r="F168" s="13" t="s">
        <v>374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365</v>
      </c>
      <c r="C169" s="10" t="s">
        <v>556</v>
      </c>
      <c r="D169" s="13" t="s">
        <v>386</v>
      </c>
      <c r="E169" s="192">
        <v>168598.16666666701</v>
      </c>
      <c r="F169" s="13" t="s">
        <v>374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366</v>
      </c>
      <c r="C170" s="10" t="s">
        <v>556</v>
      </c>
      <c r="D170" s="13" t="s">
        <v>386</v>
      </c>
      <c r="E170" s="192">
        <v>168598.16666666701</v>
      </c>
      <c r="F170" s="13" t="s">
        <v>374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367</v>
      </c>
      <c r="C171" s="10" t="s">
        <v>556</v>
      </c>
      <c r="D171" s="13" t="s">
        <v>379</v>
      </c>
      <c r="E171" s="192">
        <v>163336.83333333299</v>
      </c>
      <c r="F171" s="13" t="s">
        <v>386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369</v>
      </c>
      <c r="C172" s="10" t="s">
        <v>556</v>
      </c>
      <c r="D172" s="13" t="s">
        <v>379</v>
      </c>
      <c r="E172" s="192">
        <v>163336.83333333299</v>
      </c>
      <c r="F172" s="13" t="s">
        <v>386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370</v>
      </c>
      <c r="C173" s="10" t="s">
        <v>556</v>
      </c>
      <c r="D173" s="13" t="s">
        <v>379</v>
      </c>
      <c r="E173" s="192">
        <v>163336.83333333299</v>
      </c>
      <c r="F173" s="13" t="s">
        <v>386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371</v>
      </c>
      <c r="C174" s="10" t="s">
        <v>556</v>
      </c>
      <c r="D174" s="13" t="s">
        <v>379</v>
      </c>
      <c r="E174" s="192">
        <v>163336.83333333299</v>
      </c>
      <c r="F174" s="13" t="s">
        <v>386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372</v>
      </c>
      <c r="C175" s="10" t="s">
        <v>556</v>
      </c>
      <c r="D175" s="13" t="s">
        <v>379</v>
      </c>
      <c r="E175" s="192">
        <v>163336.83333333299</v>
      </c>
      <c r="F175" s="13" t="s">
        <v>386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359</v>
      </c>
      <c r="C176" s="10" t="s">
        <v>556</v>
      </c>
      <c r="D176" s="13" t="s">
        <v>379</v>
      </c>
      <c r="E176" s="192">
        <v>163336.83333333299</v>
      </c>
      <c r="F176" s="13" t="s">
        <v>386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373</v>
      </c>
      <c r="C177" s="10" t="s">
        <v>362</v>
      </c>
      <c r="D177" s="13" t="s">
        <v>583</v>
      </c>
      <c r="E177" s="70">
        <v>152814.16666666701</v>
      </c>
      <c r="F177" s="13" t="s">
        <v>582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375</v>
      </c>
      <c r="C178" s="10" t="s">
        <v>362</v>
      </c>
      <c r="D178" s="13" t="s">
        <v>583</v>
      </c>
      <c r="E178" s="70">
        <v>152814.16666666701</v>
      </c>
      <c r="F178" s="13" t="s">
        <v>582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376</v>
      </c>
      <c r="C179" s="10" t="s">
        <v>362</v>
      </c>
      <c r="D179" s="13" t="s">
        <v>582</v>
      </c>
      <c r="E179" s="70">
        <v>158075.5</v>
      </c>
      <c r="F179" s="13" t="s">
        <v>379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378</v>
      </c>
      <c r="C180" s="10" t="s">
        <v>389</v>
      </c>
      <c r="D180" s="13" t="s">
        <v>583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380</v>
      </c>
      <c r="C181" s="10" t="s">
        <v>558</v>
      </c>
      <c r="D181" s="13" t="s">
        <v>645</v>
      </c>
      <c r="E181" s="70">
        <v>91598</v>
      </c>
      <c r="F181" s="13" t="s">
        <v>643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381</v>
      </c>
      <c r="C182" s="10" t="s">
        <v>558</v>
      </c>
      <c r="D182" s="13" t="s">
        <v>645</v>
      </c>
      <c r="E182" s="70">
        <v>91598</v>
      </c>
      <c r="F182" s="13" t="s">
        <v>643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382</v>
      </c>
      <c r="C183" s="10" t="s">
        <v>558</v>
      </c>
      <c r="D183" s="13" t="s">
        <v>645</v>
      </c>
      <c r="E183" s="70">
        <v>91598</v>
      </c>
      <c r="F183" s="13" t="s">
        <v>643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383</v>
      </c>
      <c r="C184" s="10" t="s">
        <v>558</v>
      </c>
      <c r="D184" s="13" t="s">
        <v>645</v>
      </c>
      <c r="E184" s="70">
        <v>91598</v>
      </c>
      <c r="F184" s="13" t="s">
        <v>643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384</v>
      </c>
      <c r="C185" s="10" t="s">
        <v>558</v>
      </c>
      <c r="D185" s="13" t="s">
        <v>645</v>
      </c>
      <c r="E185" s="70">
        <v>91598</v>
      </c>
      <c r="F185" s="13" t="s">
        <v>643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385</v>
      </c>
      <c r="C186" s="10" t="s">
        <v>558</v>
      </c>
      <c r="D186" s="13" t="s">
        <v>645</v>
      </c>
      <c r="E186" s="70">
        <v>91598</v>
      </c>
      <c r="F186" s="13" t="s">
        <v>643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387</v>
      </c>
      <c r="C187" s="10" t="s">
        <v>558</v>
      </c>
      <c r="D187" s="13" t="s">
        <v>645</v>
      </c>
      <c r="E187" s="70">
        <v>91598</v>
      </c>
      <c r="F187" s="13" t="s">
        <v>643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644</v>
      </c>
      <c r="C188" s="10" t="s">
        <v>389</v>
      </c>
      <c r="D188" s="13" t="s">
        <v>645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388</v>
      </c>
      <c r="C189" s="10" t="s">
        <v>389</v>
      </c>
      <c r="D189" s="13" t="s">
        <v>645</v>
      </c>
      <c r="E189" s="70">
        <v>91598</v>
      </c>
      <c r="F189" s="13" t="s">
        <v>643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360</v>
      </c>
      <c r="C190" s="10" t="s">
        <v>392</v>
      </c>
      <c r="D190" s="13" t="s">
        <v>393</v>
      </c>
      <c r="E190" s="70">
        <v>89050.25</v>
      </c>
      <c r="F190" s="13" t="s">
        <v>645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391</v>
      </c>
      <c r="C191" s="10" t="s">
        <v>392</v>
      </c>
      <c r="D191" s="13" t="s">
        <v>397</v>
      </c>
      <c r="E191" s="70">
        <v>83955</v>
      </c>
      <c r="F191" s="13" t="s">
        <v>395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394</v>
      </c>
      <c r="C192" s="10" t="s">
        <v>362</v>
      </c>
      <c r="D192" s="13" t="s">
        <v>583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398</v>
      </c>
      <c r="C193" s="10" t="s">
        <v>399</v>
      </c>
      <c r="D193" s="13" t="s">
        <v>923</v>
      </c>
      <c r="E193" s="70">
        <v>76540.75</v>
      </c>
      <c r="F193" s="13" t="s">
        <v>585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401</v>
      </c>
      <c r="C194" s="10" t="s">
        <v>399</v>
      </c>
      <c r="D194" s="13" t="s">
        <v>923</v>
      </c>
      <c r="E194" s="70">
        <v>76540.75</v>
      </c>
      <c r="F194" s="13" t="s">
        <v>585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402</v>
      </c>
      <c r="C195" s="10" t="s">
        <v>399</v>
      </c>
      <c r="D195" s="13" t="s">
        <v>923</v>
      </c>
      <c r="E195" s="70">
        <v>76540.75</v>
      </c>
      <c r="F195" s="13" t="s">
        <v>585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403</v>
      </c>
      <c r="C196" s="10" t="s">
        <v>404</v>
      </c>
      <c r="D196" s="13" t="s">
        <v>395</v>
      </c>
      <c r="E196" s="70">
        <v>86502.5</v>
      </c>
      <c r="F196" s="13" t="s">
        <v>393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406</v>
      </c>
      <c r="C197" s="10" t="s">
        <v>404</v>
      </c>
      <c r="D197" s="13" t="s">
        <v>395</v>
      </c>
      <c r="E197" s="70">
        <v>86502.5</v>
      </c>
      <c r="F197" s="13" t="s">
        <v>393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120</v>
      </c>
      <c r="C198" s="26" t="s">
        <v>990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408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172" activePane="bottomRight" state="frozen"/>
      <selection pane="topRight"/>
      <selection pane="bottomLeft"/>
      <selection pane="bottomRight" sqref="A1:E5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991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551</v>
      </c>
    </row>
    <row r="5" spans="1:5" ht="17.25" customHeight="1">
      <c r="C5" s="6"/>
      <c r="D5" s="6"/>
      <c r="E5" s="757" t="s">
        <v>21</v>
      </c>
    </row>
    <row r="6" spans="1:5" ht="20.100000000000001" customHeight="1">
      <c r="A6" s="7" t="s">
        <v>22</v>
      </c>
      <c r="B6" s="6" t="s">
        <v>23</v>
      </c>
      <c r="C6" s="6"/>
      <c r="D6" s="6"/>
      <c r="E6" s="757"/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58">
        <v>648000</v>
      </c>
    </row>
    <row r="8" spans="1:5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58">
        <v>216000</v>
      </c>
    </row>
    <row r="9" spans="1:5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58">
        <v>216000</v>
      </c>
    </row>
    <row r="10" spans="1:5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58">
        <v>216000</v>
      </c>
    </row>
    <row r="11" spans="1:5" ht="20.100000000000001" customHeight="1">
      <c r="A11" s="8">
        <v>5</v>
      </c>
      <c r="B11" s="9" t="s">
        <v>34</v>
      </c>
      <c r="C11" s="10" t="s">
        <v>35</v>
      </c>
      <c r="D11" s="13" t="s">
        <v>578</v>
      </c>
      <c r="E11" s="758">
        <v>216000</v>
      </c>
    </row>
    <row r="12" spans="1:5" ht="20.100000000000001" customHeight="1">
      <c r="A12" s="8">
        <v>6</v>
      </c>
      <c r="B12" s="9" t="s">
        <v>37</v>
      </c>
      <c r="C12" s="2" t="s">
        <v>38</v>
      </c>
      <c r="D12" s="8" t="s">
        <v>50</v>
      </c>
      <c r="E12" s="758">
        <v>151200</v>
      </c>
    </row>
    <row r="13" spans="1:5" ht="20.100000000000001" customHeight="1">
      <c r="A13" s="8">
        <v>7</v>
      </c>
      <c r="B13" s="9" t="s">
        <v>40</v>
      </c>
      <c r="C13" s="2" t="s">
        <v>619</v>
      </c>
      <c r="D13" s="13" t="s">
        <v>191</v>
      </c>
      <c r="E13" s="758">
        <v>108000</v>
      </c>
    </row>
    <row r="14" spans="1:5" ht="20.100000000000001" customHeight="1">
      <c r="A14" s="8">
        <v>8</v>
      </c>
      <c r="B14" s="12" t="s">
        <v>43</v>
      </c>
      <c r="C14" s="15" t="s">
        <v>44</v>
      </c>
      <c r="D14" s="13" t="s">
        <v>50</v>
      </c>
      <c r="E14" s="758">
        <v>151200</v>
      </c>
    </row>
    <row r="15" spans="1:5" ht="20.100000000000001" customHeight="1">
      <c r="A15" s="8">
        <v>9</v>
      </c>
      <c r="B15" s="9" t="s">
        <v>45</v>
      </c>
      <c r="C15" s="2" t="s">
        <v>46</v>
      </c>
      <c r="D15" s="8" t="s">
        <v>214</v>
      </c>
      <c r="E15" s="758">
        <v>108000</v>
      </c>
    </row>
    <row r="16" spans="1:5" ht="20.100000000000001" customHeight="1">
      <c r="A16" s="8">
        <v>10</v>
      </c>
      <c r="B16" s="9" t="s">
        <v>48</v>
      </c>
      <c r="C16" s="2" t="s">
        <v>49</v>
      </c>
      <c r="D16" s="8" t="s">
        <v>42</v>
      </c>
      <c r="E16" s="758">
        <v>151200</v>
      </c>
    </row>
    <row r="17" spans="1:5" ht="20.100000000000001" customHeight="1">
      <c r="A17" s="8">
        <v>11</v>
      </c>
      <c r="B17" s="9" t="s">
        <v>51</v>
      </c>
      <c r="C17" s="10" t="s">
        <v>61</v>
      </c>
      <c r="D17" s="13" t="s">
        <v>56</v>
      </c>
      <c r="E17" s="758">
        <v>108000</v>
      </c>
    </row>
    <row r="18" spans="1:5" ht="20.100000000000001" customHeight="1">
      <c r="A18" s="8">
        <v>12</v>
      </c>
      <c r="B18" s="16" t="s">
        <v>54</v>
      </c>
      <c r="C18" s="2" t="s">
        <v>55</v>
      </c>
      <c r="D18" s="13" t="s">
        <v>620</v>
      </c>
      <c r="E18" s="758">
        <v>108000</v>
      </c>
    </row>
    <row r="19" spans="1:5" ht="20.100000000000001" customHeight="1">
      <c r="A19" s="8">
        <v>13</v>
      </c>
      <c r="B19" s="16" t="s">
        <v>57</v>
      </c>
      <c r="C19" s="2" t="s">
        <v>58</v>
      </c>
      <c r="D19" s="13" t="s">
        <v>576</v>
      </c>
      <c r="E19" s="758">
        <v>108000</v>
      </c>
    </row>
    <row r="20" spans="1:5" ht="20.100000000000001" customHeight="1">
      <c r="A20" s="8">
        <v>14</v>
      </c>
      <c r="B20" s="16" t="s">
        <v>60</v>
      </c>
      <c r="C20" s="2" t="s">
        <v>61</v>
      </c>
      <c r="D20" s="13" t="s">
        <v>576</v>
      </c>
      <c r="E20" s="758">
        <v>108000</v>
      </c>
    </row>
    <row r="21" spans="1:5" ht="20.100000000000001" customHeight="1">
      <c r="A21" s="8">
        <v>15</v>
      </c>
      <c r="B21" s="9" t="s">
        <v>62</v>
      </c>
      <c r="C21" s="10" t="s">
        <v>621</v>
      </c>
      <c r="D21" s="13" t="s">
        <v>261</v>
      </c>
      <c r="E21" s="758">
        <v>81600</v>
      </c>
    </row>
    <row r="22" spans="1:5" ht="18.75" customHeight="1">
      <c r="A22" s="8">
        <v>16</v>
      </c>
      <c r="B22" s="9" t="s">
        <v>65</v>
      </c>
      <c r="C22" s="10" t="s">
        <v>177</v>
      </c>
      <c r="D22" s="13" t="s">
        <v>172</v>
      </c>
      <c r="E22" s="758">
        <v>81600</v>
      </c>
    </row>
    <row r="23" spans="1:5" ht="20.100000000000001" customHeight="1">
      <c r="A23" s="8">
        <v>17</v>
      </c>
      <c r="B23" s="12" t="s">
        <v>68</v>
      </c>
      <c r="C23" s="15" t="s">
        <v>69</v>
      </c>
      <c r="D23" s="8" t="s">
        <v>131</v>
      </c>
      <c r="E23" s="758">
        <v>81600</v>
      </c>
    </row>
    <row r="24" spans="1:5" ht="21.6" customHeight="1">
      <c r="A24" s="8">
        <v>18</v>
      </c>
      <c r="B24" s="9" t="s">
        <v>71</v>
      </c>
      <c r="C24" s="15" t="s">
        <v>72</v>
      </c>
      <c r="D24" s="13" t="s">
        <v>131</v>
      </c>
      <c r="E24" s="758">
        <v>81600</v>
      </c>
    </row>
    <row r="25" spans="1:5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758">
        <v>81600</v>
      </c>
    </row>
    <row r="26" spans="1:5" ht="20.100000000000001" customHeight="1">
      <c r="A26" s="8">
        <v>20</v>
      </c>
      <c r="B26" s="12" t="s">
        <v>76</v>
      </c>
      <c r="C26" s="15" t="s">
        <v>77</v>
      </c>
      <c r="D26" s="8" t="s">
        <v>75</v>
      </c>
      <c r="E26" s="758">
        <v>81600</v>
      </c>
    </row>
    <row r="27" spans="1:5" ht="18.75" customHeight="1">
      <c r="A27" s="8">
        <v>21</v>
      </c>
      <c r="B27" s="2" t="s">
        <v>483</v>
      </c>
      <c r="C27" s="2" t="s">
        <v>94</v>
      </c>
      <c r="D27" s="8" t="s">
        <v>154</v>
      </c>
      <c r="E27" s="758">
        <v>64800</v>
      </c>
    </row>
    <row r="28" spans="1:5" ht="18.75" customHeight="1">
      <c r="A28" s="8">
        <v>22</v>
      </c>
      <c r="B28" s="16" t="s">
        <v>79</v>
      </c>
      <c r="C28" s="10" t="s">
        <v>94</v>
      </c>
      <c r="D28" s="13" t="s">
        <v>154</v>
      </c>
      <c r="E28" s="758">
        <v>64800</v>
      </c>
    </row>
    <row r="29" spans="1:5" ht="20.100000000000001" customHeight="1">
      <c r="A29" s="8">
        <v>23</v>
      </c>
      <c r="B29" s="9" t="s">
        <v>82</v>
      </c>
      <c r="C29" s="15" t="s">
        <v>69</v>
      </c>
      <c r="D29" s="8" t="s">
        <v>154</v>
      </c>
      <c r="E29" s="758">
        <v>64800</v>
      </c>
    </row>
    <row r="30" spans="1:5" ht="18.75" customHeight="1">
      <c r="A30" s="8">
        <v>24</v>
      </c>
      <c r="B30" s="16" t="s">
        <v>84</v>
      </c>
      <c r="C30" s="10" t="s">
        <v>85</v>
      </c>
      <c r="D30" s="13" t="s">
        <v>86</v>
      </c>
      <c r="E30" s="758">
        <v>64800</v>
      </c>
    </row>
    <row r="31" spans="1:5" ht="18.75" customHeight="1">
      <c r="A31" s="8">
        <v>25</v>
      </c>
      <c r="B31" s="16" t="s">
        <v>87</v>
      </c>
      <c r="C31" s="2" t="s">
        <v>88</v>
      </c>
      <c r="D31" s="8" t="s">
        <v>99</v>
      </c>
      <c r="E31" s="758">
        <v>64800</v>
      </c>
    </row>
    <row r="32" spans="1:5" ht="18.75" customHeight="1">
      <c r="A32" s="8">
        <v>26</v>
      </c>
      <c r="B32" s="16" t="s">
        <v>89</v>
      </c>
      <c r="C32" s="2" t="s">
        <v>88</v>
      </c>
      <c r="D32" s="8" t="s">
        <v>99</v>
      </c>
      <c r="E32" s="758">
        <v>64800</v>
      </c>
    </row>
    <row r="33" spans="1:5" ht="18.75" customHeight="1">
      <c r="A33" s="8">
        <v>27</v>
      </c>
      <c r="B33" s="16" t="s">
        <v>91</v>
      </c>
      <c r="C33" s="15" t="s">
        <v>622</v>
      </c>
      <c r="D33" s="13" t="s">
        <v>154</v>
      </c>
      <c r="E33" s="758">
        <v>64800</v>
      </c>
    </row>
    <row r="34" spans="1:5" ht="18.75" customHeight="1">
      <c r="A34" s="8">
        <v>28</v>
      </c>
      <c r="B34" s="16" t="s">
        <v>93</v>
      </c>
      <c r="C34" s="2" t="s">
        <v>94</v>
      </c>
      <c r="D34" s="8" t="s">
        <v>99</v>
      </c>
      <c r="E34" s="758">
        <v>64800</v>
      </c>
    </row>
    <row r="35" spans="1:5" ht="18.75" customHeight="1">
      <c r="A35" s="8">
        <v>29</v>
      </c>
      <c r="B35" s="16" t="s">
        <v>95</v>
      </c>
      <c r="C35" s="2" t="s">
        <v>623</v>
      </c>
      <c r="D35" s="8" t="s">
        <v>99</v>
      </c>
      <c r="E35" s="758">
        <v>64800</v>
      </c>
    </row>
    <row r="36" spans="1:5" ht="18.75" customHeight="1">
      <c r="A36" s="8">
        <v>30</v>
      </c>
      <c r="B36" s="16" t="s">
        <v>103</v>
      </c>
      <c r="C36" s="10" t="s">
        <v>104</v>
      </c>
      <c r="D36" s="13" t="s">
        <v>108</v>
      </c>
      <c r="E36" s="758">
        <v>64800</v>
      </c>
    </row>
    <row r="37" spans="1:5" ht="18.75" customHeight="1">
      <c r="A37" s="8">
        <v>31</v>
      </c>
      <c r="B37" s="16" t="s">
        <v>106</v>
      </c>
      <c r="C37" s="10" t="s">
        <v>107</v>
      </c>
      <c r="D37" s="13" t="s">
        <v>111</v>
      </c>
      <c r="E37" s="758">
        <v>64800</v>
      </c>
    </row>
    <row r="38" spans="1:5" ht="26.25" customHeight="1">
      <c r="A38" s="8"/>
      <c r="B38" s="18" t="s">
        <v>120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121</v>
      </c>
      <c r="C40" s="2"/>
      <c r="D40" s="13"/>
      <c r="E40" s="758"/>
    </row>
    <row r="41" spans="1:5" ht="18.75" customHeight="1">
      <c r="A41" s="8">
        <v>1</v>
      </c>
      <c r="B41" s="16" t="s">
        <v>122</v>
      </c>
      <c r="C41" s="2" t="s">
        <v>123</v>
      </c>
      <c r="D41" s="8" t="s">
        <v>124</v>
      </c>
      <c r="E41" s="758">
        <f>270000*1.2</f>
        <v>324000</v>
      </c>
    </row>
    <row r="42" spans="1:5" ht="18.75" customHeight="1">
      <c r="A42" s="8">
        <v>2</v>
      </c>
      <c r="B42" s="16" t="s">
        <v>127</v>
      </c>
      <c r="C42" s="2" t="s">
        <v>128</v>
      </c>
      <c r="D42" s="8" t="s">
        <v>75</v>
      </c>
      <c r="E42" s="758">
        <f>68000*1.2</f>
        <v>81600</v>
      </c>
    </row>
    <row r="43" spans="1:5" ht="18.75" customHeight="1">
      <c r="A43" s="8">
        <v>3</v>
      </c>
      <c r="B43" s="9" t="s">
        <v>129</v>
      </c>
      <c r="C43" s="2" t="s">
        <v>128</v>
      </c>
      <c r="D43" s="13" t="s">
        <v>78</v>
      </c>
      <c r="E43" s="758">
        <f>68000*1.2</f>
        <v>81600</v>
      </c>
    </row>
    <row r="44" spans="1:5" ht="18.75" customHeight="1">
      <c r="A44" s="8">
        <v>4</v>
      </c>
      <c r="B44" s="9" t="s">
        <v>133</v>
      </c>
      <c r="C44" s="2" t="s">
        <v>134</v>
      </c>
      <c r="D44" s="13" t="s">
        <v>99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137</v>
      </c>
      <c r="C47" s="3"/>
      <c r="D47" s="22"/>
      <c r="E47" s="759"/>
    </row>
    <row r="48" spans="1:5" ht="20.100000000000001" customHeight="1">
      <c r="A48" s="8">
        <v>1</v>
      </c>
      <c r="B48" s="9" t="s">
        <v>138</v>
      </c>
      <c r="C48" s="2" t="s">
        <v>624</v>
      </c>
      <c r="D48" s="8" t="s">
        <v>36</v>
      </c>
      <c r="E48" s="758">
        <v>216000</v>
      </c>
    </row>
    <row r="49" spans="1:5" ht="20.100000000000001" customHeight="1">
      <c r="A49" s="8">
        <v>2</v>
      </c>
      <c r="B49" s="9" t="s">
        <v>141</v>
      </c>
      <c r="C49" s="2" t="s">
        <v>142</v>
      </c>
      <c r="D49" s="8" t="s">
        <v>39</v>
      </c>
      <c r="E49" s="758">
        <v>151200</v>
      </c>
    </row>
    <row r="50" spans="1:5" ht="20.100000000000001" customHeight="1">
      <c r="A50" s="8">
        <v>3</v>
      </c>
      <c r="B50" s="9" t="s">
        <v>143</v>
      </c>
      <c r="C50" s="2" t="s">
        <v>142</v>
      </c>
      <c r="D50" s="8" t="s">
        <v>39</v>
      </c>
      <c r="E50" s="758">
        <v>151200</v>
      </c>
    </row>
    <row r="51" spans="1:5" ht="20.100000000000001" customHeight="1">
      <c r="A51" s="8">
        <v>4</v>
      </c>
      <c r="B51" s="9" t="s">
        <v>144</v>
      </c>
      <c r="C51" s="2" t="s">
        <v>142</v>
      </c>
      <c r="D51" s="8" t="s">
        <v>50</v>
      </c>
      <c r="E51" s="758">
        <v>151200</v>
      </c>
    </row>
    <row r="52" spans="1:5" ht="20.100000000000001" customHeight="1">
      <c r="A52" s="8">
        <v>5</v>
      </c>
      <c r="B52" s="12" t="s">
        <v>145</v>
      </c>
      <c r="C52" s="2" t="s">
        <v>142</v>
      </c>
      <c r="D52" s="8" t="s">
        <v>42</v>
      </c>
      <c r="E52" s="758">
        <v>151200</v>
      </c>
    </row>
    <row r="53" spans="1:5" ht="20.100000000000001" customHeight="1">
      <c r="A53" s="8">
        <v>6</v>
      </c>
      <c r="B53" s="9" t="s">
        <v>149</v>
      </c>
      <c r="C53" s="2" t="s">
        <v>150</v>
      </c>
      <c r="D53" s="8" t="s">
        <v>78</v>
      </c>
      <c r="E53" s="758">
        <v>81600</v>
      </c>
    </row>
    <row r="54" spans="1:5" ht="20.100000000000001" customHeight="1">
      <c r="A54" s="8">
        <v>7</v>
      </c>
      <c r="B54" s="9" t="s">
        <v>153</v>
      </c>
      <c r="C54" s="2" t="s">
        <v>150</v>
      </c>
      <c r="D54" s="8" t="s">
        <v>86</v>
      </c>
      <c r="E54" s="758">
        <v>64800</v>
      </c>
    </row>
    <row r="55" spans="1:5" ht="20.100000000000001" customHeight="1">
      <c r="A55" s="8">
        <v>8</v>
      </c>
      <c r="B55" s="9" t="s">
        <v>155</v>
      </c>
      <c r="C55" s="2" t="s">
        <v>150</v>
      </c>
      <c r="D55" s="8" t="s">
        <v>86</v>
      </c>
      <c r="E55" s="758">
        <v>64800</v>
      </c>
    </row>
    <row r="56" spans="1:5" ht="25.5" customHeight="1">
      <c r="A56" s="8"/>
      <c r="B56" s="18" t="s">
        <v>120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157</v>
      </c>
      <c r="C58" s="19"/>
      <c r="D58" s="19"/>
      <c r="E58" s="762"/>
    </row>
    <row r="59" spans="1:5" ht="20.100000000000001" customHeight="1">
      <c r="A59" s="8">
        <v>1</v>
      </c>
      <c r="B59" s="9" t="s">
        <v>158</v>
      </c>
      <c r="C59" s="10" t="s">
        <v>159</v>
      </c>
      <c r="D59" s="13" t="s">
        <v>124</v>
      </c>
      <c r="E59" s="758">
        <v>324000</v>
      </c>
    </row>
    <row r="60" spans="1:5" ht="20.100000000000001" customHeight="1">
      <c r="A60" s="8">
        <v>2</v>
      </c>
      <c r="B60" s="9" t="s">
        <v>160</v>
      </c>
      <c r="C60" s="10" t="s">
        <v>161</v>
      </c>
      <c r="D60" s="13" t="s">
        <v>162</v>
      </c>
      <c r="E60" s="758">
        <v>151200</v>
      </c>
    </row>
    <row r="61" spans="1:5" ht="20.100000000000001" customHeight="1">
      <c r="A61" s="8"/>
      <c r="B61" s="18" t="s">
        <v>120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163</v>
      </c>
      <c r="C63" s="19"/>
      <c r="D63" s="19"/>
      <c r="E63" s="762"/>
    </row>
    <row r="64" spans="1:5" ht="20.100000000000001" customHeight="1">
      <c r="A64" s="8">
        <v>1</v>
      </c>
      <c r="B64" s="12" t="s">
        <v>164</v>
      </c>
      <c r="C64" s="2" t="s">
        <v>165</v>
      </c>
      <c r="D64" s="8" t="s">
        <v>36</v>
      </c>
      <c r="E64" s="758">
        <v>216000</v>
      </c>
    </row>
    <row r="65" spans="1:5" ht="20.100000000000001" customHeight="1">
      <c r="A65" s="8">
        <v>2</v>
      </c>
      <c r="B65" s="9" t="s">
        <v>166</v>
      </c>
      <c r="C65" s="2" t="s">
        <v>52</v>
      </c>
      <c r="D65" s="8" t="s">
        <v>214</v>
      </c>
      <c r="E65" s="758">
        <v>108000</v>
      </c>
    </row>
    <row r="66" spans="1:5" ht="20.100000000000001" customHeight="1">
      <c r="A66" s="8">
        <v>3</v>
      </c>
      <c r="B66" s="9" t="s">
        <v>170</v>
      </c>
      <c r="C66" s="2" t="s">
        <v>150</v>
      </c>
      <c r="D66" s="8" t="s">
        <v>70</v>
      </c>
      <c r="E66" s="758">
        <v>81600</v>
      </c>
    </row>
    <row r="67" spans="1:5" ht="20.100000000000001" customHeight="1">
      <c r="A67" s="8">
        <v>4</v>
      </c>
      <c r="B67" s="9" t="s">
        <v>171</v>
      </c>
      <c r="C67" s="15" t="s">
        <v>72</v>
      </c>
      <c r="D67" s="8" t="s">
        <v>70</v>
      </c>
      <c r="E67" s="758">
        <v>81600</v>
      </c>
    </row>
    <row r="68" spans="1:5" ht="20.100000000000001" customHeight="1">
      <c r="A68" s="8">
        <v>5</v>
      </c>
      <c r="B68" s="9" t="s">
        <v>173</v>
      </c>
      <c r="C68" s="15" t="s">
        <v>72</v>
      </c>
      <c r="D68" s="8" t="s">
        <v>70</v>
      </c>
      <c r="E68" s="758">
        <v>81600</v>
      </c>
    </row>
    <row r="69" spans="1:5" ht="20.100000000000001" customHeight="1">
      <c r="A69" s="8">
        <v>6</v>
      </c>
      <c r="B69" s="9" t="s">
        <v>174</v>
      </c>
      <c r="C69" s="2" t="s">
        <v>625</v>
      </c>
      <c r="D69" s="8" t="s">
        <v>172</v>
      </c>
      <c r="E69" s="758">
        <v>81600</v>
      </c>
    </row>
    <row r="70" spans="1:5" ht="21.6" customHeight="1">
      <c r="A70" s="8">
        <v>7</v>
      </c>
      <c r="B70" s="9" t="s">
        <v>178</v>
      </c>
      <c r="C70" s="2" t="s">
        <v>150</v>
      </c>
      <c r="D70" s="8" t="s">
        <v>78</v>
      </c>
      <c r="E70" s="758">
        <v>81600</v>
      </c>
    </row>
    <row r="71" spans="1:5" ht="27" customHeight="1">
      <c r="A71" s="8"/>
      <c r="B71" s="18" t="s">
        <v>120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182</v>
      </c>
      <c r="C73" s="19"/>
      <c r="D73" s="19"/>
      <c r="E73" s="762"/>
    </row>
    <row r="74" spans="1:5" ht="20.100000000000001" customHeight="1">
      <c r="A74" s="8">
        <v>1</v>
      </c>
      <c r="B74" s="9" t="s">
        <v>183</v>
      </c>
      <c r="C74" s="2" t="s">
        <v>184</v>
      </c>
      <c r="D74" s="8" t="s">
        <v>124</v>
      </c>
      <c r="E74" s="758">
        <v>324000</v>
      </c>
    </row>
    <row r="75" spans="1:5" ht="20.100000000000001" customHeight="1">
      <c r="A75" s="8">
        <v>2</v>
      </c>
      <c r="B75" s="9" t="s">
        <v>187</v>
      </c>
      <c r="C75" s="2" t="s">
        <v>188</v>
      </c>
      <c r="D75" s="8" t="s">
        <v>42</v>
      </c>
      <c r="E75" s="758">
        <v>151200</v>
      </c>
    </row>
    <row r="76" spans="1:5" ht="20.100000000000001" customHeight="1">
      <c r="A76" s="8">
        <v>3</v>
      </c>
      <c r="B76" s="9" t="s">
        <v>189</v>
      </c>
      <c r="C76" s="2" t="s">
        <v>190</v>
      </c>
      <c r="D76" s="13" t="s">
        <v>47</v>
      </c>
      <c r="E76" s="758">
        <v>108000</v>
      </c>
    </row>
    <row r="77" spans="1:5" ht="20.100000000000001" customHeight="1">
      <c r="A77" s="8">
        <v>4</v>
      </c>
      <c r="B77" s="9" t="s">
        <v>196</v>
      </c>
      <c r="C77" s="2" t="s">
        <v>197</v>
      </c>
      <c r="D77" s="8" t="s">
        <v>131</v>
      </c>
      <c r="E77" s="758">
        <v>81600</v>
      </c>
    </row>
    <row r="78" spans="1:5" ht="20.100000000000001" customHeight="1">
      <c r="A78" s="8">
        <v>5</v>
      </c>
      <c r="B78" s="9" t="s">
        <v>200</v>
      </c>
      <c r="C78" s="2" t="s">
        <v>181</v>
      </c>
      <c r="D78" s="8" t="s">
        <v>99</v>
      </c>
      <c r="E78" s="758">
        <v>64800</v>
      </c>
    </row>
    <row r="79" spans="1:5" ht="20.100000000000001" customHeight="1">
      <c r="A79" s="8">
        <v>6</v>
      </c>
      <c r="B79" s="9" t="s">
        <v>202</v>
      </c>
      <c r="C79" s="2" t="s">
        <v>203</v>
      </c>
      <c r="D79" s="8" t="s">
        <v>108</v>
      </c>
      <c r="E79" s="758">
        <v>64800</v>
      </c>
    </row>
    <row r="80" spans="1:5" ht="20.100000000000001" customHeight="1">
      <c r="A80" s="8"/>
      <c r="B80" s="18" t="s">
        <v>120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204</v>
      </c>
      <c r="C82" s="23"/>
      <c r="D82" s="19"/>
      <c r="E82" s="762"/>
    </row>
    <row r="83" spans="1:5" ht="20.100000000000001" customHeight="1">
      <c r="A83" s="8">
        <v>1</v>
      </c>
      <c r="B83" s="9" t="s">
        <v>205</v>
      </c>
      <c r="C83" s="2" t="s">
        <v>142</v>
      </c>
      <c r="D83" s="8" t="s">
        <v>577</v>
      </c>
      <c r="E83" s="758">
        <v>324000</v>
      </c>
    </row>
    <row r="84" spans="1:5" ht="20.100000000000001" customHeight="1">
      <c r="A84" s="8">
        <v>2</v>
      </c>
      <c r="B84" s="9" t="s">
        <v>207</v>
      </c>
      <c r="C84" s="2" t="s">
        <v>208</v>
      </c>
      <c r="D84" s="8" t="s">
        <v>578</v>
      </c>
      <c r="E84" s="758">
        <v>216000</v>
      </c>
    </row>
    <row r="85" spans="1:5" ht="20.100000000000001" customHeight="1">
      <c r="A85" s="8">
        <v>3</v>
      </c>
      <c r="B85" s="9" t="s">
        <v>210</v>
      </c>
      <c r="C85" s="2" t="s">
        <v>142</v>
      </c>
      <c r="D85" s="8" t="s">
        <v>50</v>
      </c>
      <c r="E85" s="758">
        <v>151200</v>
      </c>
    </row>
    <row r="86" spans="1:5" ht="21.6" customHeight="1">
      <c r="A86" s="8">
        <v>4</v>
      </c>
      <c r="B86" s="9" t="s">
        <v>211</v>
      </c>
      <c r="C86" s="2" t="s">
        <v>52</v>
      </c>
      <c r="D86" s="13" t="s">
        <v>214</v>
      </c>
      <c r="E86" s="758">
        <v>108000</v>
      </c>
    </row>
    <row r="87" spans="1:5" ht="21.6" customHeight="1">
      <c r="A87" s="8">
        <v>5</v>
      </c>
      <c r="B87" s="9" t="s">
        <v>212</v>
      </c>
      <c r="C87" s="2" t="s">
        <v>52</v>
      </c>
      <c r="D87" s="13" t="s">
        <v>214</v>
      </c>
      <c r="E87" s="758">
        <v>108000</v>
      </c>
    </row>
    <row r="88" spans="1:5" ht="21.6" customHeight="1">
      <c r="A88" s="8">
        <v>6</v>
      </c>
      <c r="B88" s="9" t="s">
        <v>213</v>
      </c>
      <c r="C88" s="10" t="s">
        <v>52</v>
      </c>
      <c r="D88" s="13" t="s">
        <v>53</v>
      </c>
      <c r="E88" s="758">
        <v>108000</v>
      </c>
    </row>
    <row r="89" spans="1:5" ht="21.6" customHeight="1">
      <c r="A89" s="8">
        <v>7</v>
      </c>
      <c r="B89" s="9" t="s">
        <v>215</v>
      </c>
      <c r="C89" s="15" t="s">
        <v>72</v>
      </c>
      <c r="D89" s="13" t="s">
        <v>70</v>
      </c>
      <c r="E89" s="758">
        <v>81600</v>
      </c>
    </row>
    <row r="90" spans="1:5" ht="21.6" customHeight="1">
      <c r="A90" s="8">
        <v>8</v>
      </c>
      <c r="B90" s="9" t="s">
        <v>216</v>
      </c>
      <c r="C90" s="15" t="s">
        <v>217</v>
      </c>
      <c r="D90" s="13" t="s">
        <v>64</v>
      </c>
      <c r="E90" s="758">
        <v>108000</v>
      </c>
    </row>
    <row r="91" spans="1:5" ht="21.6" customHeight="1">
      <c r="A91" s="8">
        <v>9</v>
      </c>
      <c r="B91" s="9" t="s">
        <v>220</v>
      </c>
      <c r="C91" s="2" t="s">
        <v>221</v>
      </c>
      <c r="D91" s="8" t="s">
        <v>78</v>
      </c>
      <c r="E91" s="763">
        <v>81600</v>
      </c>
    </row>
    <row r="92" spans="1:5" ht="21.6" customHeight="1">
      <c r="A92" s="8">
        <v>10</v>
      </c>
      <c r="B92" s="9" t="s">
        <v>224</v>
      </c>
      <c r="C92" s="15" t="s">
        <v>554</v>
      </c>
      <c r="D92" s="13" t="s">
        <v>105</v>
      </c>
      <c r="E92" s="763">
        <v>64800</v>
      </c>
    </row>
    <row r="93" spans="1:5" ht="20.100000000000001" customHeight="1">
      <c r="A93" s="8"/>
      <c r="B93" s="18" t="s">
        <v>120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226</v>
      </c>
      <c r="C95" s="19"/>
      <c r="D95" s="19"/>
      <c r="E95" s="762"/>
    </row>
    <row r="96" spans="1:5" ht="20.100000000000001" customHeight="1">
      <c r="A96" s="8">
        <v>1</v>
      </c>
      <c r="B96" s="12" t="s">
        <v>227</v>
      </c>
      <c r="C96" s="2" t="s">
        <v>626</v>
      </c>
      <c r="D96" s="14" t="s">
        <v>140</v>
      </c>
      <c r="E96" s="758">
        <v>324000</v>
      </c>
    </row>
    <row r="97" spans="1:5" ht="20.100000000000001" customHeight="1">
      <c r="A97" s="8">
        <v>2</v>
      </c>
      <c r="B97" s="9" t="s">
        <v>229</v>
      </c>
      <c r="C97" s="2" t="s">
        <v>230</v>
      </c>
      <c r="D97" s="13" t="s">
        <v>47</v>
      </c>
      <c r="E97" s="758">
        <v>108000</v>
      </c>
    </row>
    <row r="98" spans="1:5" ht="20.100000000000001" customHeight="1">
      <c r="A98" s="8">
        <v>3</v>
      </c>
      <c r="B98" s="9" t="s">
        <v>231</v>
      </c>
      <c r="C98" s="10" t="s">
        <v>232</v>
      </c>
      <c r="D98" s="13" t="s">
        <v>64</v>
      </c>
      <c r="E98" s="758">
        <v>108000</v>
      </c>
    </row>
    <row r="99" spans="1:5" ht="20.100000000000001" customHeight="1">
      <c r="A99" s="8">
        <v>4</v>
      </c>
      <c r="B99" s="9" t="s">
        <v>235</v>
      </c>
      <c r="C99" s="2" t="s">
        <v>627</v>
      </c>
      <c r="D99" s="13" t="s">
        <v>172</v>
      </c>
      <c r="E99" s="758">
        <v>81600</v>
      </c>
    </row>
    <row r="100" spans="1:5" ht="20.100000000000001" customHeight="1">
      <c r="A100" s="8">
        <v>5</v>
      </c>
      <c r="B100" s="9" t="s">
        <v>236</v>
      </c>
      <c r="C100" s="2" t="s">
        <v>199</v>
      </c>
      <c r="D100" s="13" t="s">
        <v>78</v>
      </c>
      <c r="E100" s="763">
        <v>81600</v>
      </c>
    </row>
    <row r="101" spans="1:5" ht="20.100000000000001" customHeight="1">
      <c r="A101" s="2"/>
      <c r="B101" s="18" t="s">
        <v>120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239</v>
      </c>
      <c r="C103" s="2"/>
      <c r="D103" s="2"/>
      <c r="E103" s="764"/>
    </row>
    <row r="104" spans="1:5" ht="20.100000000000001" customHeight="1">
      <c r="A104" s="2">
        <v>1</v>
      </c>
      <c r="B104" s="9" t="s">
        <v>628</v>
      </c>
      <c r="C104" s="10" t="s">
        <v>241</v>
      </c>
      <c r="D104" s="13" t="s">
        <v>124</v>
      </c>
      <c r="E104" s="758">
        <v>324000</v>
      </c>
    </row>
    <row r="105" spans="1:5" ht="20.100000000000001" customHeight="1">
      <c r="A105" s="2">
        <v>2</v>
      </c>
      <c r="B105" s="9" t="s">
        <v>242</v>
      </c>
      <c r="C105" s="2" t="s">
        <v>243</v>
      </c>
      <c r="D105" s="14" t="s">
        <v>36</v>
      </c>
      <c r="E105" s="758">
        <v>216000</v>
      </c>
    </row>
    <row r="106" spans="1:5" ht="20.100000000000001" customHeight="1">
      <c r="A106" s="2">
        <v>3</v>
      </c>
      <c r="B106" s="9" t="s">
        <v>244</v>
      </c>
      <c r="C106" s="2" t="s">
        <v>629</v>
      </c>
      <c r="D106" s="8" t="s">
        <v>56</v>
      </c>
      <c r="E106" s="758">
        <v>108000</v>
      </c>
    </row>
    <row r="107" spans="1:5" ht="20.100000000000001" customHeight="1">
      <c r="A107" s="2">
        <v>4</v>
      </c>
      <c r="B107" s="9" t="s">
        <v>246</v>
      </c>
      <c r="C107" s="2" t="s">
        <v>629</v>
      </c>
      <c r="D107" s="8" t="s">
        <v>56</v>
      </c>
      <c r="E107" s="758">
        <v>108000</v>
      </c>
    </row>
    <row r="108" spans="1:5" ht="20.100000000000001" customHeight="1">
      <c r="A108" s="2">
        <v>5</v>
      </c>
      <c r="B108" s="9" t="s">
        <v>249</v>
      </c>
      <c r="C108" s="2" t="s">
        <v>250</v>
      </c>
      <c r="D108" s="13" t="s">
        <v>579</v>
      </c>
      <c r="E108" s="763">
        <v>64800</v>
      </c>
    </row>
    <row r="109" spans="1:5" ht="20.100000000000001" customHeight="1">
      <c r="A109" s="2">
        <v>6</v>
      </c>
      <c r="B109" s="16" t="s">
        <v>252</v>
      </c>
      <c r="C109" s="2" t="s">
        <v>250</v>
      </c>
      <c r="D109" s="8" t="s">
        <v>225</v>
      </c>
      <c r="E109" s="763">
        <v>64800</v>
      </c>
    </row>
    <row r="110" spans="1:5" ht="20.100000000000001" customHeight="1">
      <c r="A110" s="2">
        <v>7</v>
      </c>
      <c r="B110" s="16" t="s">
        <v>253</v>
      </c>
      <c r="C110" s="2" t="s">
        <v>250</v>
      </c>
      <c r="D110" s="13" t="s">
        <v>105</v>
      </c>
      <c r="E110" s="763">
        <v>64800</v>
      </c>
    </row>
    <row r="111" spans="1:5" ht="25.5" customHeight="1">
      <c r="A111" s="2"/>
      <c r="B111" s="18" t="s">
        <v>120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257</v>
      </c>
      <c r="C113" s="19"/>
      <c r="D113" s="19"/>
      <c r="E113" s="762"/>
    </row>
    <row r="114" spans="1:5" ht="18.75" customHeight="1">
      <c r="A114" s="8">
        <v>1</v>
      </c>
      <c r="B114" s="9" t="s">
        <v>259</v>
      </c>
      <c r="C114" s="2" t="s">
        <v>260</v>
      </c>
      <c r="D114" s="13" t="s">
        <v>172</v>
      </c>
      <c r="E114" s="758">
        <v>81600</v>
      </c>
    </row>
    <row r="115" spans="1:5" ht="18.75" customHeight="1">
      <c r="A115" s="8">
        <v>2</v>
      </c>
      <c r="B115" s="9" t="s">
        <v>484</v>
      </c>
      <c r="C115" s="2" t="s">
        <v>72</v>
      </c>
      <c r="D115" s="13" t="s">
        <v>70</v>
      </c>
      <c r="E115" s="758">
        <v>81600</v>
      </c>
    </row>
    <row r="116" spans="1:5" ht="20.100000000000001" customHeight="1">
      <c r="A116" s="8">
        <v>3</v>
      </c>
      <c r="B116" s="9" t="s">
        <v>192</v>
      </c>
      <c r="C116" s="10" t="s">
        <v>193</v>
      </c>
      <c r="D116" s="13" t="s">
        <v>67</v>
      </c>
      <c r="E116" s="758">
        <v>108000</v>
      </c>
    </row>
    <row r="117" spans="1:5" ht="24.75" customHeight="1">
      <c r="A117" s="2"/>
      <c r="B117" s="18" t="s">
        <v>120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268</v>
      </c>
      <c r="C119" s="19"/>
      <c r="D119" s="19"/>
      <c r="E119" s="762"/>
    </row>
    <row r="120" spans="1:5" ht="24.75" customHeight="1">
      <c r="A120" s="8">
        <v>1</v>
      </c>
      <c r="B120" s="9" t="s">
        <v>273</v>
      </c>
      <c r="C120" s="2" t="s">
        <v>274</v>
      </c>
      <c r="D120" s="8" t="s">
        <v>277</v>
      </c>
      <c r="E120" s="758">
        <v>64800</v>
      </c>
    </row>
    <row r="121" spans="1:5" ht="24.75" customHeight="1">
      <c r="A121" s="8">
        <v>2</v>
      </c>
      <c r="B121" s="9" t="s">
        <v>278</v>
      </c>
      <c r="C121" s="2" t="s">
        <v>279</v>
      </c>
      <c r="D121" s="8" t="s">
        <v>277</v>
      </c>
      <c r="E121" s="758">
        <v>64800</v>
      </c>
    </row>
    <row r="122" spans="1:5" ht="20.100000000000001" customHeight="1">
      <c r="A122" s="2"/>
      <c r="B122" s="18" t="s">
        <v>120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280</v>
      </c>
      <c r="C124" s="19"/>
      <c r="D124" s="19"/>
      <c r="E124" s="762"/>
    </row>
    <row r="125" spans="1:5" ht="20.100000000000001" customHeight="1">
      <c r="A125" s="2">
        <v>1</v>
      </c>
      <c r="B125" s="9" t="s">
        <v>281</v>
      </c>
      <c r="C125" s="10" t="s">
        <v>282</v>
      </c>
      <c r="D125" s="13" t="s">
        <v>124</v>
      </c>
      <c r="E125" s="758">
        <v>324000</v>
      </c>
    </row>
    <row r="126" spans="1:5" ht="20.100000000000001" customHeight="1">
      <c r="A126" s="2">
        <v>2</v>
      </c>
      <c r="B126" s="9" t="s">
        <v>283</v>
      </c>
      <c r="C126" s="10" t="s">
        <v>630</v>
      </c>
      <c r="D126" s="13" t="s">
        <v>36</v>
      </c>
      <c r="E126" s="758">
        <v>216000</v>
      </c>
    </row>
    <row r="127" spans="1:5" ht="20.100000000000001" customHeight="1">
      <c r="A127" s="2">
        <v>3</v>
      </c>
      <c r="B127" s="12" t="s">
        <v>285</v>
      </c>
      <c r="C127" s="10" t="s">
        <v>631</v>
      </c>
      <c r="D127" s="13" t="s">
        <v>578</v>
      </c>
      <c r="E127" s="758">
        <v>216000</v>
      </c>
    </row>
    <row r="128" spans="1:5" ht="20.100000000000001" customHeight="1">
      <c r="A128" s="2">
        <v>4</v>
      </c>
      <c r="B128" s="9" t="s">
        <v>288</v>
      </c>
      <c r="C128" s="10" t="s">
        <v>290</v>
      </c>
      <c r="D128" s="13" t="s">
        <v>191</v>
      </c>
      <c r="E128" s="758">
        <v>108000</v>
      </c>
    </row>
    <row r="129" spans="1:5" ht="20.100000000000001" customHeight="1">
      <c r="A129" s="2">
        <v>5</v>
      </c>
      <c r="B129" s="9" t="s">
        <v>289</v>
      </c>
      <c r="C129" s="10" t="s">
        <v>632</v>
      </c>
      <c r="D129" s="13" t="s">
        <v>214</v>
      </c>
      <c r="E129" s="758">
        <v>108000</v>
      </c>
    </row>
    <row r="130" spans="1:5" ht="20.100000000000001" customHeight="1">
      <c r="A130" s="2">
        <v>6</v>
      </c>
      <c r="B130" s="9" t="s">
        <v>291</v>
      </c>
      <c r="C130" s="10" t="s">
        <v>290</v>
      </c>
      <c r="D130" s="13" t="s">
        <v>47</v>
      </c>
      <c r="E130" s="758">
        <v>108000</v>
      </c>
    </row>
    <row r="131" spans="1:5" ht="20.100000000000001" customHeight="1">
      <c r="A131" s="2">
        <v>7</v>
      </c>
      <c r="B131" s="9" t="s">
        <v>294</v>
      </c>
      <c r="C131" s="10" t="s">
        <v>633</v>
      </c>
      <c r="D131" s="8" t="s">
        <v>154</v>
      </c>
      <c r="E131" s="758">
        <v>64800</v>
      </c>
    </row>
    <row r="132" spans="1:5" ht="20.100000000000001" customHeight="1">
      <c r="A132" s="2">
        <v>8</v>
      </c>
      <c r="B132" s="16" t="s">
        <v>296</v>
      </c>
      <c r="C132" s="10" t="s">
        <v>297</v>
      </c>
      <c r="D132" s="13" t="s">
        <v>108</v>
      </c>
      <c r="E132" s="758">
        <v>64800</v>
      </c>
    </row>
    <row r="133" spans="1:5" ht="20.100000000000001" customHeight="1">
      <c r="A133" s="2">
        <v>9</v>
      </c>
      <c r="B133" s="16" t="s">
        <v>298</v>
      </c>
      <c r="C133" s="10" t="s">
        <v>293</v>
      </c>
      <c r="D133" s="13" t="s">
        <v>108</v>
      </c>
      <c r="E133" s="758">
        <v>64800</v>
      </c>
    </row>
    <row r="134" spans="1:5" ht="20.100000000000001" customHeight="1">
      <c r="A134" s="2">
        <v>10</v>
      </c>
      <c r="B134" s="16" t="s">
        <v>299</v>
      </c>
      <c r="C134" s="10" t="s">
        <v>297</v>
      </c>
      <c r="D134" s="13" t="s">
        <v>111</v>
      </c>
      <c r="E134" s="758">
        <v>64800</v>
      </c>
    </row>
    <row r="135" spans="1:5" ht="28.5" customHeight="1">
      <c r="A135" s="2"/>
      <c r="B135" s="18" t="s">
        <v>120</v>
      </c>
      <c r="C135" s="24" t="s">
        <v>634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301</v>
      </c>
      <c r="C137" s="10"/>
      <c r="D137" s="13"/>
      <c r="E137" s="758"/>
    </row>
    <row r="138" spans="1:5" ht="20.100000000000001" customHeight="1">
      <c r="A138" s="25">
        <v>1</v>
      </c>
      <c r="B138" s="12" t="s">
        <v>302</v>
      </c>
      <c r="C138" s="2" t="s">
        <v>303</v>
      </c>
      <c r="D138" s="8" t="s">
        <v>580</v>
      </c>
      <c r="E138" s="758">
        <v>324000</v>
      </c>
    </row>
    <row r="139" spans="1:5" ht="20.100000000000001" customHeight="1">
      <c r="A139" s="25">
        <v>2</v>
      </c>
      <c r="B139" s="12" t="s">
        <v>305</v>
      </c>
      <c r="C139" s="2" t="s">
        <v>306</v>
      </c>
      <c r="D139" s="14" t="s">
        <v>36</v>
      </c>
      <c r="E139" s="758">
        <v>216000</v>
      </c>
    </row>
    <row r="140" spans="1:5" ht="20.100000000000001" customHeight="1">
      <c r="A140" s="25">
        <v>3</v>
      </c>
      <c r="B140" s="9" t="s">
        <v>307</v>
      </c>
      <c r="C140" s="10" t="s">
        <v>308</v>
      </c>
      <c r="D140" s="13" t="s">
        <v>42</v>
      </c>
      <c r="E140" s="758">
        <v>151200</v>
      </c>
    </row>
    <row r="141" spans="1:5" ht="20.100000000000001" customHeight="1">
      <c r="A141" s="25">
        <v>4</v>
      </c>
      <c r="B141" s="9" t="s">
        <v>309</v>
      </c>
      <c r="C141" s="2" t="s">
        <v>310</v>
      </c>
      <c r="D141" s="13" t="s">
        <v>42</v>
      </c>
      <c r="E141" s="758">
        <v>151200</v>
      </c>
    </row>
    <row r="142" spans="1:5" ht="20.100000000000001" customHeight="1">
      <c r="A142" s="25">
        <v>5</v>
      </c>
      <c r="B142" s="9" t="s">
        <v>311</v>
      </c>
      <c r="C142" s="2" t="s">
        <v>310</v>
      </c>
      <c r="D142" s="13" t="s">
        <v>42</v>
      </c>
      <c r="E142" s="758">
        <v>151200</v>
      </c>
    </row>
    <row r="143" spans="1:5" ht="20.100000000000001" customHeight="1">
      <c r="A143" s="25">
        <v>6</v>
      </c>
      <c r="B143" s="9" t="s">
        <v>314</v>
      </c>
      <c r="C143" s="10" t="s">
        <v>232</v>
      </c>
      <c r="D143" s="13" t="s">
        <v>67</v>
      </c>
      <c r="E143" s="758">
        <v>108000</v>
      </c>
    </row>
    <row r="144" spans="1:5" ht="20.100000000000001" customHeight="1">
      <c r="A144" s="25">
        <v>7</v>
      </c>
      <c r="B144" s="9" t="s">
        <v>315</v>
      </c>
      <c r="C144" s="2" t="s">
        <v>635</v>
      </c>
      <c r="D144" s="13" t="s">
        <v>67</v>
      </c>
      <c r="E144" s="758">
        <v>108000</v>
      </c>
    </row>
    <row r="145" spans="1:5" ht="20.100000000000001" customHeight="1">
      <c r="A145" s="25">
        <v>8</v>
      </c>
      <c r="B145" s="9" t="s">
        <v>317</v>
      </c>
      <c r="C145" s="10" t="s">
        <v>636</v>
      </c>
      <c r="D145" s="13" t="s">
        <v>172</v>
      </c>
      <c r="E145" s="758">
        <v>81600</v>
      </c>
    </row>
    <row r="146" spans="1:5" ht="20.100000000000001" customHeight="1">
      <c r="A146" s="25">
        <v>9</v>
      </c>
      <c r="B146" s="9" t="s">
        <v>319</v>
      </c>
      <c r="C146" s="10" t="s">
        <v>320</v>
      </c>
      <c r="D146" s="13" t="s">
        <v>70</v>
      </c>
      <c r="E146" s="758">
        <v>81600</v>
      </c>
    </row>
    <row r="147" spans="1:5" ht="20.100000000000001" customHeight="1">
      <c r="A147" s="25">
        <v>10</v>
      </c>
      <c r="B147" s="16" t="s">
        <v>321</v>
      </c>
      <c r="C147" s="2" t="s">
        <v>322</v>
      </c>
      <c r="D147" s="13" t="s">
        <v>131</v>
      </c>
      <c r="E147" s="758">
        <v>81600</v>
      </c>
    </row>
    <row r="148" spans="1:5" ht="20.100000000000001" customHeight="1">
      <c r="A148" s="25">
        <v>11</v>
      </c>
      <c r="B148" s="9" t="s">
        <v>323</v>
      </c>
      <c r="C148" s="2" t="s">
        <v>322</v>
      </c>
      <c r="D148" s="13" t="s">
        <v>179</v>
      </c>
      <c r="E148" s="758">
        <v>81600</v>
      </c>
    </row>
    <row r="149" spans="1:5" ht="20.100000000000001" customHeight="1">
      <c r="A149" s="25">
        <v>12</v>
      </c>
      <c r="B149" s="9" t="s">
        <v>324</v>
      </c>
      <c r="C149" s="2" t="s">
        <v>322</v>
      </c>
      <c r="D149" s="13" t="s">
        <v>179</v>
      </c>
      <c r="E149" s="758">
        <v>81600</v>
      </c>
    </row>
    <row r="150" spans="1:5" ht="20.100000000000001" customHeight="1">
      <c r="A150" s="25">
        <v>13</v>
      </c>
      <c r="B150" s="9" t="s">
        <v>326</v>
      </c>
      <c r="C150" s="2" t="s">
        <v>322</v>
      </c>
      <c r="D150" s="13" t="s">
        <v>131</v>
      </c>
      <c r="E150" s="758">
        <v>81600</v>
      </c>
    </row>
    <row r="151" spans="1:5" ht="20.100000000000001" customHeight="1">
      <c r="A151" s="25">
        <v>14</v>
      </c>
      <c r="B151" s="9" t="s">
        <v>327</v>
      </c>
      <c r="C151" s="10" t="s">
        <v>328</v>
      </c>
      <c r="D151" s="13" t="s">
        <v>78</v>
      </c>
      <c r="E151" s="758">
        <v>81600</v>
      </c>
    </row>
    <row r="152" spans="1:5" ht="20.100000000000001" customHeight="1">
      <c r="A152" s="25">
        <v>15</v>
      </c>
      <c r="B152" s="9" t="s">
        <v>329</v>
      </c>
      <c r="C152" s="10" t="s">
        <v>330</v>
      </c>
      <c r="D152" s="8" t="s">
        <v>86</v>
      </c>
      <c r="E152" s="758">
        <v>64800</v>
      </c>
    </row>
    <row r="153" spans="1:5" ht="20.100000000000001" customHeight="1">
      <c r="A153" s="25">
        <v>16</v>
      </c>
      <c r="B153" s="9" t="s">
        <v>331</v>
      </c>
      <c r="C153" s="10" t="s">
        <v>637</v>
      </c>
      <c r="D153" s="13" t="s">
        <v>151</v>
      </c>
      <c r="E153" s="763">
        <v>81600</v>
      </c>
    </row>
    <row r="154" spans="1:5" ht="20.100000000000001" customHeight="1">
      <c r="A154" s="25">
        <v>17</v>
      </c>
      <c r="B154" s="9" t="s">
        <v>333</v>
      </c>
      <c r="C154" s="10" t="s">
        <v>638</v>
      </c>
      <c r="D154" s="13" t="s">
        <v>154</v>
      </c>
      <c r="E154" s="763">
        <v>64800</v>
      </c>
    </row>
    <row r="155" spans="1:5" ht="20.100000000000001" customHeight="1">
      <c r="A155" s="25">
        <v>18</v>
      </c>
      <c r="B155" s="9" t="s">
        <v>335</v>
      </c>
      <c r="C155" s="10" t="s">
        <v>639</v>
      </c>
      <c r="D155" s="13" t="s">
        <v>151</v>
      </c>
      <c r="E155" s="763">
        <v>81600</v>
      </c>
    </row>
    <row r="156" spans="1:5" ht="20.100000000000001" customHeight="1">
      <c r="A156" s="25">
        <v>19</v>
      </c>
      <c r="B156" s="9" t="s">
        <v>336</v>
      </c>
      <c r="C156" s="10" t="s">
        <v>640</v>
      </c>
      <c r="D156" s="13" t="s">
        <v>154</v>
      </c>
      <c r="E156" s="763">
        <v>64800</v>
      </c>
    </row>
    <row r="157" spans="1:5" ht="20.100000000000001" customHeight="1">
      <c r="A157" s="25">
        <v>20</v>
      </c>
      <c r="B157" s="16" t="s">
        <v>338</v>
      </c>
      <c r="C157" s="10" t="s">
        <v>339</v>
      </c>
      <c r="D157" s="13" t="s">
        <v>99</v>
      </c>
      <c r="E157" s="763">
        <v>64800</v>
      </c>
    </row>
    <row r="158" spans="1:5" ht="20.100000000000001" customHeight="1">
      <c r="A158" s="25">
        <v>21</v>
      </c>
      <c r="B158" s="16" t="s">
        <v>340</v>
      </c>
      <c r="C158" s="10" t="s">
        <v>339</v>
      </c>
      <c r="D158" s="13" t="s">
        <v>99</v>
      </c>
      <c r="E158" s="763">
        <v>64800</v>
      </c>
    </row>
    <row r="159" spans="1:5" ht="20.100000000000001" customHeight="1">
      <c r="A159" s="25">
        <v>22</v>
      </c>
      <c r="B159" s="16" t="s">
        <v>345</v>
      </c>
      <c r="C159" s="10" t="s">
        <v>346</v>
      </c>
      <c r="D159" s="13" t="s">
        <v>108</v>
      </c>
      <c r="E159" s="758">
        <v>64800</v>
      </c>
    </row>
    <row r="160" spans="1:5" ht="20.100000000000001" customHeight="1">
      <c r="A160" s="25">
        <v>23</v>
      </c>
      <c r="B160" s="16" t="s">
        <v>347</v>
      </c>
      <c r="C160" s="10" t="s">
        <v>348</v>
      </c>
      <c r="D160" s="13" t="s">
        <v>108</v>
      </c>
      <c r="E160" s="758">
        <v>64800</v>
      </c>
    </row>
    <row r="161" spans="1:5" ht="20.100000000000001" customHeight="1">
      <c r="A161" s="25">
        <v>24</v>
      </c>
      <c r="B161" s="16" t="s">
        <v>349</v>
      </c>
      <c r="C161" s="10" t="s">
        <v>350</v>
      </c>
      <c r="D161" s="13" t="s">
        <v>108</v>
      </c>
      <c r="E161" s="758">
        <v>64800</v>
      </c>
    </row>
    <row r="162" spans="1:5" ht="20.100000000000001" customHeight="1">
      <c r="A162" s="25">
        <v>25</v>
      </c>
      <c r="B162" s="16" t="s">
        <v>351</v>
      </c>
      <c r="C162" s="10" t="s">
        <v>641</v>
      </c>
      <c r="D162" s="13" t="s">
        <v>105</v>
      </c>
      <c r="E162" s="758">
        <v>64800</v>
      </c>
    </row>
    <row r="163" spans="1:5" ht="20.100000000000001" customHeight="1">
      <c r="A163" s="25">
        <v>26</v>
      </c>
      <c r="B163" s="16" t="s">
        <v>352</v>
      </c>
      <c r="C163" s="10" t="s">
        <v>348</v>
      </c>
      <c r="D163" s="13" t="s">
        <v>108</v>
      </c>
      <c r="E163" s="758">
        <v>64800</v>
      </c>
    </row>
    <row r="164" spans="1:5" ht="20.100000000000001" customHeight="1">
      <c r="A164" s="25">
        <v>27</v>
      </c>
      <c r="B164" s="16" t="s">
        <v>353</v>
      </c>
      <c r="C164" s="10" t="s">
        <v>354</v>
      </c>
      <c r="D164" s="13" t="s">
        <v>111</v>
      </c>
      <c r="E164" s="760">
        <v>64800</v>
      </c>
    </row>
    <row r="165" spans="1:5" ht="20.100000000000001" customHeight="1">
      <c r="A165" s="25">
        <v>28</v>
      </c>
      <c r="B165" s="16" t="s">
        <v>355</v>
      </c>
      <c r="C165" s="10" t="s">
        <v>354</v>
      </c>
      <c r="D165" s="13" t="s">
        <v>111</v>
      </c>
      <c r="E165" s="760">
        <v>64800</v>
      </c>
    </row>
    <row r="166" spans="1:5" ht="20.100000000000001" customHeight="1">
      <c r="A166" s="25">
        <v>29</v>
      </c>
      <c r="B166" s="9" t="s">
        <v>361</v>
      </c>
      <c r="C166" s="10" t="s">
        <v>556</v>
      </c>
      <c r="D166" s="13" t="s">
        <v>374</v>
      </c>
      <c r="E166" s="760">
        <v>54000</v>
      </c>
    </row>
    <row r="167" spans="1:5" ht="20.100000000000001" customHeight="1">
      <c r="A167" s="25">
        <v>30</v>
      </c>
      <c r="B167" s="9" t="s">
        <v>364</v>
      </c>
      <c r="C167" s="10" t="s">
        <v>556</v>
      </c>
      <c r="D167" s="13" t="s">
        <v>374</v>
      </c>
      <c r="E167" s="760">
        <v>54000</v>
      </c>
    </row>
    <row r="168" spans="1:5" ht="20.100000000000001" customHeight="1">
      <c r="A168" s="25">
        <v>31</v>
      </c>
      <c r="B168" s="9" t="s">
        <v>642</v>
      </c>
      <c r="C168" s="10" t="s">
        <v>556</v>
      </c>
      <c r="D168" s="13" t="s">
        <v>374</v>
      </c>
      <c r="E168" s="760">
        <v>54000</v>
      </c>
    </row>
    <row r="169" spans="1:5" ht="20.100000000000001" customHeight="1">
      <c r="A169" s="25">
        <v>32</v>
      </c>
      <c r="B169" s="9" t="s">
        <v>365</v>
      </c>
      <c r="C169" s="10" t="s">
        <v>556</v>
      </c>
      <c r="D169" s="13" t="s">
        <v>374</v>
      </c>
      <c r="E169" s="760">
        <v>54000</v>
      </c>
    </row>
    <row r="170" spans="1:5" ht="20.100000000000001" customHeight="1">
      <c r="A170" s="25">
        <v>33</v>
      </c>
      <c r="B170" s="9" t="s">
        <v>366</v>
      </c>
      <c r="C170" s="10" t="s">
        <v>556</v>
      </c>
      <c r="D170" s="13" t="s">
        <v>374</v>
      </c>
      <c r="E170" s="760">
        <v>54000</v>
      </c>
    </row>
    <row r="171" spans="1:5" ht="20.100000000000001" customHeight="1">
      <c r="A171" s="25">
        <v>34</v>
      </c>
      <c r="B171" s="9" t="s">
        <v>367</v>
      </c>
      <c r="C171" s="10" t="s">
        <v>556</v>
      </c>
      <c r="D171" s="13" t="s">
        <v>386</v>
      </c>
      <c r="E171" s="760">
        <v>54000</v>
      </c>
    </row>
    <row r="172" spans="1:5" ht="20.100000000000001" customHeight="1">
      <c r="A172" s="25">
        <v>35</v>
      </c>
      <c r="B172" s="9" t="s">
        <v>369</v>
      </c>
      <c r="C172" s="10" t="s">
        <v>556</v>
      </c>
      <c r="D172" s="13" t="s">
        <v>386</v>
      </c>
      <c r="E172" s="760">
        <v>54000</v>
      </c>
    </row>
    <row r="173" spans="1:5" ht="20.100000000000001" customHeight="1">
      <c r="A173" s="25">
        <v>36</v>
      </c>
      <c r="B173" s="12" t="s">
        <v>370</v>
      </c>
      <c r="C173" s="10" t="s">
        <v>556</v>
      </c>
      <c r="D173" s="13" t="s">
        <v>386</v>
      </c>
      <c r="E173" s="760">
        <v>54000</v>
      </c>
    </row>
    <row r="174" spans="1:5" ht="20.100000000000001" customHeight="1">
      <c r="A174" s="25">
        <v>37</v>
      </c>
      <c r="B174" s="9" t="s">
        <v>371</v>
      </c>
      <c r="C174" s="10" t="s">
        <v>556</v>
      </c>
      <c r="D174" s="13" t="s">
        <v>386</v>
      </c>
      <c r="E174" s="760">
        <v>54000</v>
      </c>
    </row>
    <row r="175" spans="1:5" ht="20.100000000000001" customHeight="1">
      <c r="A175" s="25">
        <v>38</v>
      </c>
      <c r="B175" s="16" t="s">
        <v>372</v>
      </c>
      <c r="C175" s="10" t="s">
        <v>556</v>
      </c>
      <c r="D175" s="13" t="s">
        <v>386</v>
      </c>
      <c r="E175" s="760">
        <v>54000</v>
      </c>
    </row>
    <row r="176" spans="1:5" ht="20.100000000000001" customHeight="1">
      <c r="A176" s="25">
        <v>39</v>
      </c>
      <c r="B176" s="16" t="s">
        <v>359</v>
      </c>
      <c r="C176" s="10" t="s">
        <v>556</v>
      </c>
      <c r="D176" s="13" t="s">
        <v>386</v>
      </c>
      <c r="E176" s="760">
        <v>54000</v>
      </c>
    </row>
    <row r="177" spans="1:6" ht="20.100000000000001" customHeight="1">
      <c r="A177" s="25">
        <v>40</v>
      </c>
      <c r="B177" s="9" t="s">
        <v>373</v>
      </c>
      <c r="C177" s="10" t="s">
        <v>362</v>
      </c>
      <c r="D177" s="13" t="s">
        <v>582</v>
      </c>
      <c r="E177" s="760">
        <v>54000</v>
      </c>
    </row>
    <row r="178" spans="1:6" ht="20.100000000000001" customHeight="1">
      <c r="A178" s="25">
        <v>41</v>
      </c>
      <c r="B178" s="9" t="s">
        <v>375</v>
      </c>
      <c r="C178" s="10" t="s">
        <v>362</v>
      </c>
      <c r="D178" s="13" t="s">
        <v>582</v>
      </c>
      <c r="E178" s="760">
        <v>54000</v>
      </c>
    </row>
    <row r="179" spans="1:6" ht="20.100000000000001" customHeight="1">
      <c r="A179" s="25">
        <v>42</v>
      </c>
      <c r="B179" s="16" t="s">
        <v>376</v>
      </c>
      <c r="C179" s="10" t="s">
        <v>362</v>
      </c>
      <c r="D179" s="13" t="s">
        <v>379</v>
      </c>
      <c r="E179" s="760">
        <v>54000</v>
      </c>
    </row>
    <row r="180" spans="1:6" ht="20.100000000000001" customHeight="1">
      <c r="A180" s="25">
        <v>43</v>
      </c>
      <c r="B180" s="9" t="s">
        <v>378</v>
      </c>
      <c r="C180" s="10" t="s">
        <v>389</v>
      </c>
      <c r="D180" s="13" t="s">
        <v>583</v>
      </c>
      <c r="E180" s="760">
        <v>54000</v>
      </c>
    </row>
    <row r="181" spans="1:6" ht="20.100000000000001" customHeight="1">
      <c r="A181" s="25">
        <v>44</v>
      </c>
      <c r="B181" s="9" t="s">
        <v>380</v>
      </c>
      <c r="C181" s="10" t="s">
        <v>558</v>
      </c>
      <c r="D181" s="13" t="s">
        <v>643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381</v>
      </c>
      <c r="C182" s="10" t="s">
        <v>558</v>
      </c>
      <c r="D182" s="13" t="s">
        <v>643</v>
      </c>
      <c r="E182" s="758">
        <v>43200</v>
      </c>
    </row>
    <row r="183" spans="1:6" ht="20.100000000000001" customHeight="1">
      <c r="A183" s="25">
        <v>46</v>
      </c>
      <c r="B183" s="9" t="s">
        <v>382</v>
      </c>
      <c r="C183" s="10" t="s">
        <v>558</v>
      </c>
      <c r="D183" s="13" t="s">
        <v>643</v>
      </c>
      <c r="E183" s="758">
        <v>43200</v>
      </c>
    </row>
    <row r="184" spans="1:6" ht="20.100000000000001" customHeight="1">
      <c r="A184" s="25">
        <v>47</v>
      </c>
      <c r="B184" s="9" t="s">
        <v>383</v>
      </c>
      <c r="C184" s="10" t="s">
        <v>558</v>
      </c>
      <c r="D184" s="13" t="s">
        <v>643</v>
      </c>
      <c r="E184" s="758">
        <v>43200</v>
      </c>
    </row>
    <row r="185" spans="1:6" ht="20.100000000000001" customHeight="1">
      <c r="A185" s="25">
        <v>48</v>
      </c>
      <c r="B185" s="9" t="s">
        <v>384</v>
      </c>
      <c r="C185" s="10" t="s">
        <v>558</v>
      </c>
      <c r="D185" s="13" t="s">
        <v>643</v>
      </c>
      <c r="E185" s="758">
        <v>43200</v>
      </c>
    </row>
    <row r="186" spans="1:6" ht="20.100000000000001" customHeight="1">
      <c r="A186" s="25">
        <v>49</v>
      </c>
      <c r="B186" s="16" t="s">
        <v>385</v>
      </c>
      <c r="C186" s="10" t="s">
        <v>558</v>
      </c>
      <c r="D186" s="13" t="s">
        <v>643</v>
      </c>
      <c r="E186" s="758">
        <v>43200</v>
      </c>
    </row>
    <row r="187" spans="1:6" ht="20.100000000000001" customHeight="1">
      <c r="A187" s="25">
        <v>50</v>
      </c>
      <c r="B187" s="16" t="s">
        <v>387</v>
      </c>
      <c r="C187" s="10" t="s">
        <v>558</v>
      </c>
      <c r="D187" s="13" t="s">
        <v>643</v>
      </c>
      <c r="E187" s="758">
        <v>43200</v>
      </c>
    </row>
    <row r="188" spans="1:6" ht="20.100000000000001" customHeight="1">
      <c r="A188" s="25">
        <v>51</v>
      </c>
      <c r="B188" s="9" t="s">
        <v>644</v>
      </c>
      <c r="C188" s="10" t="s">
        <v>389</v>
      </c>
      <c r="D188" s="13" t="s">
        <v>643</v>
      </c>
      <c r="E188" s="758">
        <v>43200</v>
      </c>
    </row>
    <row r="189" spans="1:6" ht="20.100000000000001" customHeight="1">
      <c r="A189" s="25">
        <v>52</v>
      </c>
      <c r="B189" s="9" t="s">
        <v>388</v>
      </c>
      <c r="C189" s="10" t="s">
        <v>389</v>
      </c>
      <c r="D189" s="13" t="s">
        <v>643</v>
      </c>
      <c r="E189" s="758">
        <v>43200</v>
      </c>
    </row>
    <row r="190" spans="1:6" ht="20.100000000000001" customHeight="1">
      <c r="A190" s="25">
        <v>53</v>
      </c>
      <c r="B190" s="16" t="s">
        <v>360</v>
      </c>
      <c r="C190" s="10" t="s">
        <v>392</v>
      </c>
      <c r="D190" s="13" t="s">
        <v>645</v>
      </c>
      <c r="E190" s="758">
        <v>43200</v>
      </c>
    </row>
    <row r="191" spans="1:6" ht="20.100000000000001" customHeight="1">
      <c r="A191" s="25">
        <v>54</v>
      </c>
      <c r="B191" s="16" t="s">
        <v>391</v>
      </c>
      <c r="C191" s="10" t="s">
        <v>392</v>
      </c>
      <c r="D191" s="13" t="s">
        <v>395</v>
      </c>
      <c r="E191" s="758">
        <v>43200</v>
      </c>
    </row>
    <row r="192" spans="1:6" ht="20.100000000000001" customHeight="1">
      <c r="A192" s="25">
        <v>55</v>
      </c>
      <c r="B192" s="16" t="s">
        <v>394</v>
      </c>
      <c r="C192" s="10" t="s">
        <v>362</v>
      </c>
      <c r="D192" s="13" t="s">
        <v>583</v>
      </c>
      <c r="E192" s="758">
        <v>43200</v>
      </c>
    </row>
    <row r="193" spans="1:5" ht="20.100000000000001" customHeight="1">
      <c r="A193" s="25">
        <v>56</v>
      </c>
      <c r="B193" s="16" t="s">
        <v>398</v>
      </c>
      <c r="C193" s="10" t="s">
        <v>399</v>
      </c>
      <c r="D193" s="13" t="s">
        <v>585</v>
      </c>
      <c r="E193" s="758">
        <v>43200</v>
      </c>
    </row>
    <row r="194" spans="1:5" ht="20.100000000000001" customHeight="1">
      <c r="A194" s="25">
        <v>57</v>
      </c>
      <c r="B194" s="16" t="s">
        <v>401</v>
      </c>
      <c r="C194" s="10" t="s">
        <v>399</v>
      </c>
      <c r="D194" s="13" t="s">
        <v>585</v>
      </c>
      <c r="E194" s="758">
        <v>43200</v>
      </c>
    </row>
    <row r="195" spans="1:5" ht="20.100000000000001" customHeight="1">
      <c r="A195" s="25">
        <v>58</v>
      </c>
      <c r="B195" s="16" t="s">
        <v>402</v>
      </c>
      <c r="C195" s="10" t="s">
        <v>399</v>
      </c>
      <c r="D195" s="13" t="s">
        <v>585</v>
      </c>
      <c r="E195" s="758">
        <v>43200</v>
      </c>
    </row>
    <row r="196" spans="1:5" ht="20.100000000000001" customHeight="1">
      <c r="A196" s="25">
        <v>59</v>
      </c>
      <c r="B196" s="16" t="s">
        <v>403</v>
      </c>
      <c r="C196" s="10" t="s">
        <v>404</v>
      </c>
      <c r="D196" s="13" t="s">
        <v>393</v>
      </c>
      <c r="E196" s="758">
        <v>43200</v>
      </c>
    </row>
    <row r="197" spans="1:5" ht="20.100000000000001" customHeight="1">
      <c r="A197" s="25">
        <v>60</v>
      </c>
      <c r="B197" s="16" t="s">
        <v>406</v>
      </c>
      <c r="C197" s="10" t="s">
        <v>404</v>
      </c>
      <c r="D197" s="13" t="s">
        <v>393</v>
      </c>
      <c r="E197" s="758">
        <v>43200</v>
      </c>
    </row>
    <row r="198" spans="1:5" ht="30.75" customHeight="1">
      <c r="A198" s="25"/>
      <c r="B198" s="6" t="s">
        <v>120</v>
      </c>
      <c r="C198" s="26" t="s">
        <v>646</v>
      </c>
      <c r="D198" s="27"/>
      <c r="E198" s="761">
        <f>SUM(E138:E197)</f>
        <v>4266000</v>
      </c>
    </row>
    <row r="199" spans="1:5" ht="30" customHeight="1">
      <c r="A199" s="2"/>
      <c r="B199" s="28" t="s">
        <v>408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159" t="s">
        <v>992</v>
      </c>
      <c r="B1" s="1159"/>
      <c r="C1" s="1159"/>
    </row>
    <row r="2" spans="1:3" ht="23.1" customHeight="1">
      <c r="A2" s="672">
        <v>1</v>
      </c>
      <c r="B2" s="672" t="s">
        <v>660</v>
      </c>
      <c r="C2" s="564">
        <f>'Welfare June 25'!E199</f>
        <v>16412400</v>
      </c>
    </row>
    <row r="3" spans="1:3" ht="23.1" customHeight="1">
      <c r="A3" s="672">
        <v>2</v>
      </c>
      <c r="B3" s="672" t="s">
        <v>993</v>
      </c>
      <c r="C3" s="564">
        <f>'[7]Sallah 2025'!$E$58</f>
        <v>1790400</v>
      </c>
    </row>
    <row r="4" spans="1:3" ht="23.1" customHeight="1">
      <c r="A4" s="672">
        <v>3</v>
      </c>
      <c r="B4" s="672" t="s">
        <v>661</v>
      </c>
      <c r="C4" s="564">
        <f>'[8]Contract Welfare'!$E$21</f>
        <v>2030400</v>
      </c>
    </row>
    <row r="5" spans="1:3" ht="23.1" customHeight="1">
      <c r="A5" s="672">
        <v>4</v>
      </c>
      <c r="B5" s="672" t="s">
        <v>994</v>
      </c>
      <c r="C5" s="564">
        <f>'[8]New Contr Welfare'!$E$42</f>
        <v>2947200</v>
      </c>
    </row>
    <row r="6" spans="1:3" ht="23.1" customHeight="1">
      <c r="A6" s="672">
        <v>5</v>
      </c>
      <c r="B6" s="672" t="s">
        <v>662</v>
      </c>
      <c r="C6" s="564">
        <f>'[8]CASUAL, SABB &amp; NYSC Welfare'!$D$82</f>
        <v>3412803</v>
      </c>
    </row>
    <row r="7" spans="1:3" ht="23.1" customHeight="1">
      <c r="A7" s="672">
        <v>6</v>
      </c>
      <c r="B7" s="672" t="s">
        <v>663</v>
      </c>
      <c r="C7" s="564">
        <f>'[8]CONSULTANTS Welfare'!$D$23</f>
        <v>1533600</v>
      </c>
    </row>
    <row r="8" spans="1:3" ht="23.1" customHeight="1">
      <c r="A8" s="672">
        <v>7</v>
      </c>
      <c r="B8" s="672" t="s">
        <v>664</v>
      </c>
      <c r="C8" s="564">
        <f>'[9]Revised Version'!$E$167</f>
        <v>2844000</v>
      </c>
    </row>
    <row r="9" spans="1:3" ht="23.1" customHeight="1">
      <c r="A9" s="672"/>
      <c r="B9" s="230" t="s">
        <v>665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27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30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32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34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37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40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43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45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48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51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54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57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60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62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65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68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71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73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76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483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82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84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87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93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95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103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106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120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121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122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127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129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133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137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138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141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155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120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157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158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160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120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163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164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170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171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173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174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178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120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182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183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187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189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196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200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202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120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204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205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207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210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995</v>
      </c>
      <c r="AC84" s="436"/>
      <c r="AD84" s="436"/>
      <c r="AE84" s="436"/>
    </row>
    <row r="85" spans="1:31" ht="18.75">
      <c r="A85" s="421">
        <v>68</v>
      </c>
      <c r="B85" s="9" t="s">
        <v>211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207</v>
      </c>
      <c r="AD85" s="436"/>
      <c r="AE85" s="436"/>
    </row>
    <row r="86" spans="1:31" ht="18.75">
      <c r="A86" s="421">
        <v>69</v>
      </c>
      <c r="B86" s="9" t="s">
        <v>212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205</v>
      </c>
      <c r="AD86" s="436"/>
      <c r="AE86" s="436"/>
    </row>
    <row r="87" spans="1:31" ht="37.5">
      <c r="A87" s="421">
        <v>70</v>
      </c>
      <c r="B87" s="9" t="s">
        <v>213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210</v>
      </c>
      <c r="AD87" s="436"/>
      <c r="AE87" s="436"/>
    </row>
    <row r="88" spans="1:31" ht="18.75">
      <c r="A88" s="421">
        <v>71</v>
      </c>
      <c r="B88" s="9" t="s">
        <v>215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211</v>
      </c>
      <c r="AD88" s="436"/>
      <c r="AE88" s="436"/>
    </row>
    <row r="89" spans="1:31" ht="37.5">
      <c r="A89" s="421">
        <v>72</v>
      </c>
      <c r="B89" s="9" t="s">
        <v>216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212</v>
      </c>
      <c r="AD89" s="436"/>
      <c r="AE89" s="436"/>
    </row>
    <row r="90" spans="1:31" ht="18.75">
      <c r="A90" s="421">
        <v>73</v>
      </c>
      <c r="B90" s="9" t="s">
        <v>220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213</v>
      </c>
      <c r="AD90" s="436"/>
      <c r="AE90" s="436"/>
    </row>
    <row r="91" spans="1:31" ht="18.75">
      <c r="A91" s="421">
        <v>74</v>
      </c>
      <c r="B91" s="9" t="s">
        <v>224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215</v>
      </c>
      <c r="AD91" s="436"/>
      <c r="AE91" s="436"/>
    </row>
    <row r="92" spans="1:31" ht="24" customHeight="1">
      <c r="A92" s="421">
        <v>75</v>
      </c>
      <c r="B92" s="18" t="s">
        <v>120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216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220</v>
      </c>
      <c r="AD93" s="436"/>
      <c r="AE93" s="436"/>
    </row>
    <row r="94" spans="1:31" ht="18.75">
      <c r="A94" s="421"/>
      <c r="B94" s="18" t="s">
        <v>226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224</v>
      </c>
      <c r="AD94" s="436"/>
      <c r="AE94" s="436"/>
    </row>
    <row r="95" spans="1:31" ht="37.5">
      <c r="A95" s="421"/>
      <c r="B95" s="12" t="s">
        <v>227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229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231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235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227</v>
      </c>
      <c r="AD98" s="436"/>
      <c r="AE98" s="436"/>
    </row>
    <row r="99" spans="1:31" ht="18.75">
      <c r="A99" s="421">
        <v>80</v>
      </c>
      <c r="B99" s="9" t="s">
        <v>236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229</v>
      </c>
      <c r="AD99" s="436"/>
      <c r="AE99" s="436"/>
    </row>
    <row r="100" spans="1:31" ht="18.75">
      <c r="A100" s="421">
        <v>81</v>
      </c>
      <c r="B100" s="18" t="s">
        <v>120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235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236</v>
      </c>
      <c r="AD101" s="436"/>
      <c r="AE101" s="436"/>
    </row>
    <row r="102" spans="1:31" ht="37.5">
      <c r="A102" s="421"/>
      <c r="B102" s="18" t="s">
        <v>239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628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242</v>
      </c>
      <c r="C104" s="424"/>
      <c r="AB104" s="259" t="s">
        <v>866</v>
      </c>
      <c r="AC104" s="436"/>
      <c r="AD104" s="436"/>
      <c r="AE104" s="436"/>
    </row>
    <row r="105" spans="1:31" ht="18.75">
      <c r="A105" s="421">
        <v>85</v>
      </c>
      <c r="B105" s="9" t="s">
        <v>244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628</v>
      </c>
      <c r="AD105" s="436"/>
      <c r="AE105" s="436"/>
    </row>
    <row r="106" spans="1:31" ht="18.75">
      <c r="A106" s="421">
        <v>86</v>
      </c>
      <c r="B106" s="9" t="s">
        <v>246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249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244</v>
      </c>
      <c r="AD107" s="436"/>
      <c r="AE107" s="436"/>
    </row>
    <row r="108" spans="1:31" ht="37.5">
      <c r="A108" s="421">
        <v>88</v>
      </c>
      <c r="B108" s="16" t="s">
        <v>252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246</v>
      </c>
      <c r="AD108" s="436"/>
      <c r="AE108" s="436"/>
    </row>
    <row r="109" spans="1:31" ht="18.75">
      <c r="A109" s="421">
        <v>89</v>
      </c>
      <c r="B109" s="16" t="s">
        <v>253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249</v>
      </c>
      <c r="AD109" s="436"/>
      <c r="AE109" s="436"/>
    </row>
    <row r="110" spans="1:31" ht="18.75">
      <c r="A110" s="421"/>
      <c r="B110" s="18" t="s">
        <v>120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252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253</v>
      </c>
      <c r="AD111" s="436"/>
      <c r="AE111" s="436"/>
    </row>
    <row r="112" spans="1:31" ht="37.5">
      <c r="A112" s="421"/>
      <c r="B112" s="18" t="s">
        <v>257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259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192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120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268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988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273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278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120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280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281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283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285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288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289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291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294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296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298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299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120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301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914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302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305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307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309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311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314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315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317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319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321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323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324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326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327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329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331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333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335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336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338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340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345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347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349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351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352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353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355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361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364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642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365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366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367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369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370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371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372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359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373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375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376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378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380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381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382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383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384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385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387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644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388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360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391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394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398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401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402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403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406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27" workbookViewId="0">
      <selection activeCell="X40" sqref="X40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27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30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32</v>
      </c>
      <c r="C9" s="422">
        <v>942373.16666666698</v>
      </c>
      <c r="D9" s="423">
        <v>12</v>
      </c>
      <c r="E9" s="424">
        <f t="shared" si="0"/>
        <v>11308478</v>
      </c>
      <c r="F9" s="424">
        <f>'[10]JANUARY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'[10]JANUARY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891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34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37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'[10]JANUARY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40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43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45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48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51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54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65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68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71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73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483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82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84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87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95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103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122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127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129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137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895</v>
      </c>
      <c r="C40" s="422">
        <v>929949.42</v>
      </c>
      <c r="D40" s="423">
        <v>12</v>
      </c>
      <c r="E40" s="424">
        <f t="shared" ref="E40:E50" si="31">C40*D40</f>
        <v>11159393.039999999</v>
      </c>
      <c r="F40" s="424"/>
      <c r="G40" s="425">
        <v>1378291.2</v>
      </c>
      <c r="H40" s="424"/>
      <c r="I40" s="424">
        <f t="shared" ref="I40:I50" si="32">E40-F40-G40-H40</f>
        <v>9781101.8399999999</v>
      </c>
      <c r="J40" s="424">
        <v>200000</v>
      </c>
      <c r="K40" s="424">
        <v>0.2</v>
      </c>
      <c r="L40" s="424">
        <f t="shared" ref="L40:L50" si="33">I40*K40</f>
        <v>1956220.368</v>
      </c>
      <c r="M40" s="424">
        <f t="shared" ref="M40:M50" si="34">J40+L40</f>
        <v>2156220.3679999998</v>
      </c>
      <c r="N40" s="424">
        <f t="shared" ref="N40:N50" si="35">F40+G40+H40+M40</f>
        <v>3534511.568</v>
      </c>
      <c r="O40" s="424">
        <f t="shared" ref="O40:O50" si="36">E40-N40</f>
        <v>7624881.4720000001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1061971.5532800001</v>
      </c>
      <c r="V40" s="424">
        <f t="shared" ref="V40:V50" si="42">P40+Q40+R40+S40+T40+U40</f>
        <v>1621971.5532800001</v>
      </c>
      <c r="W40" s="431">
        <v>12</v>
      </c>
      <c r="X40" s="424">
        <f t="shared" ref="X40:X50" si="43">V40/W40</f>
        <v>135164.296106667</v>
      </c>
      <c r="Y40" s="424"/>
      <c r="Z40" s="424">
        <f t="shared" ref="Z40:Z50" si="44">X40</f>
        <v>135164.296106667</v>
      </c>
      <c r="AA40" s="436">
        <v>180306.806858667</v>
      </c>
      <c r="AB40" s="436">
        <f t="shared" ref="AB40:AB50" si="45">Z40-AA40</f>
        <v>-45142.510752000402</v>
      </c>
      <c r="AC40" s="436"/>
      <c r="AD40" s="436"/>
      <c r="AE40" s="436"/>
    </row>
    <row r="41" spans="1:31" ht="18.75">
      <c r="A41" s="421">
        <v>36</v>
      </c>
      <c r="B41" s="9" t="s">
        <v>897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138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141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9368107</v>
      </c>
      <c r="F44" s="424">
        <f>'[10]JANUARY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898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155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157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158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160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163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900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902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904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905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171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182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183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906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185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189</v>
      </c>
      <c r="C73" s="424">
        <v>596622.25</v>
      </c>
      <c r="D73" s="423">
        <v>12</v>
      </c>
      <c r="E73" s="424">
        <f t="shared" si="63"/>
        <v>7159467</v>
      </c>
      <c r="F73" s="424">
        <f>'[10]JANUARY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196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200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202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120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204</v>
      </c>
      <c r="C79" s="424"/>
      <c r="AB79" s="259" t="s">
        <v>995</v>
      </c>
      <c r="AC79" s="436"/>
      <c r="AD79" s="436"/>
      <c r="AE79" s="436"/>
    </row>
    <row r="80" spans="1:31" ht="18.75">
      <c r="A80" s="421">
        <v>68</v>
      </c>
      <c r="B80" s="9" t="s">
        <v>207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207</v>
      </c>
      <c r="AD80" s="436"/>
      <c r="AE80" s="436"/>
    </row>
    <row r="81" spans="1:31" ht="18.75">
      <c r="A81" s="421">
        <v>69</v>
      </c>
      <c r="B81" s="9" t="s">
        <v>205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205</v>
      </c>
      <c r="AD81" s="436"/>
      <c r="AE81" s="436"/>
    </row>
    <row r="82" spans="1:31" ht="37.5">
      <c r="A82" s="421">
        <v>70</v>
      </c>
      <c r="B82" s="9" t="s">
        <v>210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210</v>
      </c>
      <c r="AD82" s="436"/>
      <c r="AE82" s="436"/>
    </row>
    <row r="83" spans="1:31" ht="18.75">
      <c r="A83" s="421">
        <v>71</v>
      </c>
      <c r="B83" s="9" t="s">
        <v>211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211</v>
      </c>
      <c r="AD83" s="436"/>
      <c r="AE83" s="436"/>
    </row>
    <row r="84" spans="1:31" ht="18.75">
      <c r="A84" s="421">
        <v>72</v>
      </c>
      <c r="B84" s="9" t="s">
        <v>212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212</v>
      </c>
      <c r="AD84" s="436"/>
      <c r="AE84" s="436"/>
    </row>
    <row r="85" spans="1:31" ht="37.5">
      <c r="A85" s="421">
        <v>73</v>
      </c>
      <c r="B85" s="9" t="s">
        <v>213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213</v>
      </c>
      <c r="AD85" s="436"/>
      <c r="AE85" s="436"/>
    </row>
    <row r="86" spans="1:31" ht="18.75">
      <c r="A86" s="421">
        <v>74</v>
      </c>
      <c r="B86" s="9" t="s">
        <v>215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215</v>
      </c>
      <c r="AD86" s="436"/>
      <c r="AE86" s="436"/>
    </row>
    <row r="87" spans="1:31" ht="24" customHeight="1">
      <c r="A87" s="421">
        <v>75</v>
      </c>
      <c r="B87" s="9" t="s">
        <v>216</v>
      </c>
      <c r="C87" s="424">
        <v>510248.91666666698</v>
      </c>
      <c r="D87" s="423">
        <v>12</v>
      </c>
      <c r="E87" s="424">
        <f t="shared" si="79"/>
        <v>6122987</v>
      </c>
      <c r="F87" s="424">
        <f>'[10]JANUARY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216</v>
      </c>
      <c r="AD87" s="436"/>
      <c r="AE87" s="436"/>
    </row>
    <row r="88" spans="1:31" ht="18.75">
      <c r="A88" s="421">
        <v>76</v>
      </c>
      <c r="B88" s="9" t="s">
        <v>220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220</v>
      </c>
      <c r="AD88" s="436"/>
      <c r="AE88" s="436"/>
    </row>
    <row r="89" spans="1:31" ht="18.75">
      <c r="A89" s="421"/>
      <c r="B89" s="9" t="s">
        <v>224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224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226</v>
      </c>
      <c r="C92" s="424"/>
      <c r="AC92" s="436"/>
      <c r="AD92" s="436"/>
      <c r="AE92" s="436"/>
    </row>
    <row r="93" spans="1:31" ht="37.5">
      <c r="A93" s="421">
        <v>79</v>
      </c>
      <c r="B93" s="12" t="s">
        <v>227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'[10]JANUARY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227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120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866</v>
      </c>
      <c r="AC99" s="436"/>
      <c r="AD99" s="436"/>
      <c r="AE99" s="436"/>
    </row>
    <row r="100" spans="1:31" ht="18.75">
      <c r="A100" s="421">
        <v>85</v>
      </c>
      <c r="B100" s="9" t="s">
        <v>628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628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</v>
      </c>
      <c r="F101" s="424">
        <f>'[10]JANUARY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'[10]JANUARY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120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164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'[10]JANUARY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192</v>
      </c>
      <c r="C112" s="430">
        <v>450086.5</v>
      </c>
      <c r="D112" s="423">
        <v>12</v>
      </c>
      <c r="E112" s="424">
        <f t="shared" si="128"/>
        <v>5401038</v>
      </c>
      <c r="F112" s="424">
        <f>'[10]JANUARY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913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120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914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916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62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361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364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642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365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366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367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369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370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371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372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359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373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375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376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378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380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381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382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383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384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385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387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644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388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394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398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401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402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403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406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996</v>
      </c>
      <c r="C188" s="571">
        <f t="shared" ref="C188:G188" si="178">SUM(C6:C187)</f>
        <v>82001705.437800005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141644333.01967701</v>
      </c>
      <c r="W188" s="573"/>
      <c r="X188" s="573">
        <f t="shared" si="179"/>
        <v>11803694.418306399</v>
      </c>
      <c r="Y188" s="573"/>
      <c r="Z188" s="573">
        <f t="shared" si="179"/>
        <v>11803694.418306399</v>
      </c>
      <c r="AA188" s="574"/>
      <c r="AB188" s="574"/>
    </row>
    <row r="189" spans="2:28" ht="26.25" customHeight="1">
      <c r="B189" s="28" t="s">
        <v>997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11803694.418306399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1124" t="s">
        <v>0</v>
      </c>
      <c r="B1" s="1124"/>
      <c r="C1" s="1124"/>
      <c r="D1" s="1124"/>
      <c r="E1" s="1124"/>
      <c r="F1" s="1124"/>
      <c r="G1" s="183"/>
      <c r="H1" s="183"/>
      <c r="I1" s="183"/>
    </row>
    <row r="2" spans="1:11" s="1" customFormat="1" ht="33.75" customHeight="1">
      <c r="A2" s="61" t="s">
        <v>998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16</v>
      </c>
    </row>
    <row r="5" spans="1:11" s="1" customFormat="1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464" t="s">
        <v>21</v>
      </c>
      <c r="K5" s="67" t="s">
        <v>21</v>
      </c>
    </row>
    <row r="6" spans="1:11" s="1" customFormat="1" ht="36" customHeight="1">
      <c r="A6" s="8" t="s">
        <v>999</v>
      </c>
      <c r="B6" s="12" t="s">
        <v>302</v>
      </c>
      <c r="C6" s="2" t="s">
        <v>890</v>
      </c>
      <c r="D6" s="8" t="s">
        <v>29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1000</v>
      </c>
      <c r="B7" s="12" t="s">
        <v>302</v>
      </c>
      <c r="C7" s="2" t="s">
        <v>1001</v>
      </c>
      <c r="D7" s="8" t="s">
        <v>580</v>
      </c>
      <c r="E7" s="70">
        <f>'[5]Annual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.75">
      <c r="A8" s="8" t="s">
        <v>120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7.5">
      <c r="A10" s="8" t="s">
        <v>1002</v>
      </c>
      <c r="B10" s="9" t="s">
        <v>205</v>
      </c>
      <c r="C10" s="2" t="s">
        <v>1003</v>
      </c>
      <c r="D10" s="8" t="s">
        <v>578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1004</v>
      </c>
      <c r="B12" s="12" t="s">
        <v>164</v>
      </c>
      <c r="C12" s="2" t="s">
        <v>142</v>
      </c>
      <c r="D12" s="8" t="s">
        <v>50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1005</v>
      </c>
      <c r="B13" s="12" t="s">
        <v>164</v>
      </c>
      <c r="C13" s="2" t="s">
        <v>1006</v>
      </c>
      <c r="D13" s="8" t="s">
        <v>36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120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zoomScaleNormal="100" workbookViewId="0">
      <selection sqref="A1:J5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1166" t="s">
        <v>518</v>
      </c>
      <c r="B1" s="1166"/>
      <c r="C1" s="1166"/>
      <c r="D1" s="1166"/>
      <c r="E1" s="1166"/>
      <c r="F1" s="1166"/>
      <c r="G1" s="1166"/>
      <c r="H1" s="1166"/>
      <c r="I1" s="1166"/>
      <c r="J1" s="1166"/>
    </row>
    <row r="2" spans="1:11" ht="20.25">
      <c r="A2" s="1166" t="s">
        <v>1007</v>
      </c>
      <c r="B2" s="1166"/>
      <c r="C2" s="1166"/>
      <c r="D2" s="1166"/>
      <c r="E2" s="1166"/>
      <c r="F2" s="1166"/>
      <c r="G2" s="1166"/>
      <c r="H2" s="1166"/>
      <c r="I2" s="1166"/>
      <c r="J2" s="1166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520</v>
      </c>
      <c r="B4" s="703" t="s">
        <v>521</v>
      </c>
      <c r="C4" s="703" t="s">
        <v>522</v>
      </c>
      <c r="D4" s="703" t="s">
        <v>523</v>
      </c>
      <c r="E4" s="703" t="s">
        <v>524</v>
      </c>
      <c r="F4" s="703" t="s">
        <v>651</v>
      </c>
      <c r="G4" s="703" t="s">
        <v>652</v>
      </c>
      <c r="H4" s="704" t="s">
        <v>527</v>
      </c>
      <c r="I4" s="748" t="s">
        <v>529</v>
      </c>
      <c r="J4" s="703" t="s">
        <v>530</v>
      </c>
    </row>
    <row r="5" spans="1:11" ht="14.25">
      <c r="A5" s="703"/>
      <c r="B5" s="703"/>
      <c r="C5" s="703"/>
      <c r="D5" s="703"/>
      <c r="E5" s="703"/>
      <c r="F5" s="705" t="s">
        <v>21</v>
      </c>
      <c r="G5" s="705" t="s">
        <v>21</v>
      </c>
      <c r="H5" s="705" t="s">
        <v>21</v>
      </c>
      <c r="I5" s="705"/>
      <c r="J5" s="705" t="s">
        <v>21</v>
      </c>
    </row>
    <row r="6" spans="1:11" ht="35.1" customHeight="1">
      <c r="A6" s="706">
        <v>1</v>
      </c>
      <c r="B6" s="707" t="s">
        <v>971</v>
      </c>
      <c r="C6" s="708" t="s">
        <v>654</v>
      </c>
      <c r="D6" s="1116" t="s">
        <v>688</v>
      </c>
      <c r="E6" s="1117" t="s">
        <v>683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972</v>
      </c>
      <c r="C7" s="714" t="s">
        <v>654</v>
      </c>
      <c r="D7" s="1117" t="s">
        <v>1008</v>
      </c>
      <c r="E7" s="1117" t="s">
        <v>1009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973</v>
      </c>
      <c r="C8" s="714" t="s">
        <v>654</v>
      </c>
      <c r="D8" s="1117" t="s">
        <v>1010</v>
      </c>
      <c r="E8" s="1117" t="s">
        <v>1009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974</v>
      </c>
      <c r="C9" s="714" t="s">
        <v>1011</v>
      </c>
      <c r="D9" s="1117" t="s">
        <v>1010</v>
      </c>
      <c r="E9" s="1117" t="s">
        <v>1009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975</v>
      </c>
      <c r="C10" s="714" t="s">
        <v>1011</v>
      </c>
      <c r="D10" s="1117" t="s">
        <v>1012</v>
      </c>
      <c r="E10" s="1117" t="s">
        <v>1013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1014</v>
      </c>
    </row>
    <row r="11" spans="1:11" ht="35.1" customHeight="1">
      <c r="A11" s="706">
        <v>6</v>
      </c>
      <c r="B11" s="737" t="s">
        <v>340</v>
      </c>
      <c r="C11" s="714" t="s">
        <v>1011</v>
      </c>
      <c r="D11" s="709" t="s">
        <v>928</v>
      </c>
      <c r="E11" s="1117" t="s">
        <v>1015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976</v>
      </c>
      <c r="C12" s="714" t="s">
        <v>1011</v>
      </c>
      <c r="D12" s="1117" t="s">
        <v>1016</v>
      </c>
      <c r="E12" s="1117" t="s">
        <v>1017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977</v>
      </c>
      <c r="C13" s="714" t="s">
        <v>1011</v>
      </c>
      <c r="D13" s="1117" t="s">
        <v>1018</v>
      </c>
      <c r="E13" s="1117" t="s">
        <v>1017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978</v>
      </c>
      <c r="C14" s="714" t="s">
        <v>1011</v>
      </c>
      <c r="D14" s="1117" t="s">
        <v>1019</v>
      </c>
      <c r="E14" s="1117" t="s">
        <v>694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979</v>
      </c>
      <c r="C15" s="714" t="s">
        <v>1011</v>
      </c>
      <c r="D15" s="1117" t="s">
        <v>1019</v>
      </c>
      <c r="E15" s="1117" t="s">
        <v>694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980</v>
      </c>
      <c r="C16" s="714" t="s">
        <v>1020</v>
      </c>
      <c r="D16" s="1117" t="s">
        <v>1008</v>
      </c>
      <c r="E16" s="1117" t="s">
        <v>1009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309</v>
      </c>
      <c r="C17" s="714" t="s">
        <v>1020</v>
      </c>
      <c r="D17" s="1117" t="s">
        <v>1010</v>
      </c>
      <c r="E17" s="1117" t="s">
        <v>1009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981</v>
      </c>
      <c r="C18" s="714" t="s">
        <v>1020</v>
      </c>
      <c r="D18" s="1117" t="s">
        <v>1019</v>
      </c>
      <c r="E18" s="1117" t="s">
        <v>694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982</v>
      </c>
      <c r="C19" s="714" t="s">
        <v>1021</v>
      </c>
      <c r="D19" s="1117" t="s">
        <v>1022</v>
      </c>
      <c r="E19" s="1117" t="s">
        <v>1023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983</v>
      </c>
      <c r="C20" s="714" t="s">
        <v>1021</v>
      </c>
      <c r="D20" s="1117" t="s">
        <v>1016</v>
      </c>
      <c r="E20" s="1117" t="s">
        <v>1017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985</v>
      </c>
      <c r="C21" s="742" t="s">
        <v>705</v>
      </c>
      <c r="D21" s="1118" t="s">
        <v>1016</v>
      </c>
      <c r="E21" s="1118" t="s">
        <v>1017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986</v>
      </c>
      <c r="C22" s="714" t="s">
        <v>1024</v>
      </c>
      <c r="D22" s="1117" t="s">
        <v>1025</v>
      </c>
      <c r="E22" s="1117" t="s">
        <v>1013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192</v>
      </c>
      <c r="C23" s="714" t="s">
        <v>1026</v>
      </c>
      <c r="D23" s="1117" t="s">
        <v>1019</v>
      </c>
      <c r="E23" s="1117" t="s">
        <v>694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120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27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30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32</v>
      </c>
      <c r="C9" s="422">
        <v>942373.16666666698</v>
      </c>
      <c r="D9" s="423">
        <v>12</v>
      </c>
      <c r="E9" s="424">
        <f t="shared" si="0"/>
        <v>11308478</v>
      </c>
      <c r="F9" s="424">
        <f>'[10]JANUARY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'[10]JANUARY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891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34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37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'[10]JANUARY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40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43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45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48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51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54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65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68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71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73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483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82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84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87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95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103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122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127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129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137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895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897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138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141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9368107</v>
      </c>
      <c r="F44" s="424">
        <f>'[10]JANUARY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898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155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157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158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160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163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900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902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904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905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171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182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183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906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185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189</v>
      </c>
      <c r="C73" s="424">
        <v>596622.25</v>
      </c>
      <c r="D73" s="423">
        <v>12</v>
      </c>
      <c r="E73" s="424">
        <f t="shared" si="63"/>
        <v>7159467</v>
      </c>
      <c r="F73" s="424">
        <f>'[10]JANUARY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196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200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202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120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204</v>
      </c>
      <c r="C79" s="424"/>
      <c r="AB79" s="259" t="s">
        <v>995</v>
      </c>
      <c r="AC79" s="436"/>
      <c r="AD79" s="436"/>
      <c r="AE79" s="436"/>
    </row>
    <row r="80" spans="1:31" ht="18.75">
      <c r="A80" s="421">
        <v>68</v>
      </c>
      <c r="B80" s="9" t="s">
        <v>207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207</v>
      </c>
      <c r="AD80" s="436"/>
      <c r="AE80" s="436"/>
    </row>
    <row r="81" spans="1:31" ht="18.75">
      <c r="A81" s="421">
        <v>69</v>
      </c>
      <c r="B81" s="9" t="s">
        <v>205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205</v>
      </c>
      <c r="AD81" s="436"/>
      <c r="AE81" s="436"/>
    </row>
    <row r="82" spans="1:31" ht="37.5">
      <c r="A82" s="421">
        <v>70</v>
      </c>
      <c r="B82" s="9" t="s">
        <v>210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210</v>
      </c>
      <c r="AD82" s="436"/>
      <c r="AE82" s="436"/>
    </row>
    <row r="83" spans="1:31" ht="18.75">
      <c r="A83" s="421">
        <v>71</v>
      </c>
      <c r="B83" s="9" t="s">
        <v>211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211</v>
      </c>
      <c r="AD83" s="436"/>
      <c r="AE83" s="436"/>
    </row>
    <row r="84" spans="1:31" ht="18.75">
      <c r="A84" s="421">
        <v>72</v>
      </c>
      <c r="B84" s="9" t="s">
        <v>212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212</v>
      </c>
      <c r="AD84" s="436"/>
      <c r="AE84" s="436"/>
    </row>
    <row r="85" spans="1:31" ht="37.5">
      <c r="A85" s="421">
        <v>73</v>
      </c>
      <c r="B85" s="9" t="s">
        <v>213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213</v>
      </c>
      <c r="AD85" s="436"/>
      <c r="AE85" s="436"/>
    </row>
    <row r="86" spans="1:31" ht="18.75">
      <c r="A86" s="421">
        <v>74</v>
      </c>
      <c r="B86" s="9" t="s">
        <v>215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215</v>
      </c>
      <c r="AD86" s="436"/>
      <c r="AE86" s="436"/>
    </row>
    <row r="87" spans="1:31" ht="24" customHeight="1">
      <c r="A87" s="421">
        <v>75</v>
      </c>
      <c r="B87" s="9" t="s">
        <v>216</v>
      </c>
      <c r="C87" s="424">
        <v>510248.91666666698</v>
      </c>
      <c r="D87" s="423">
        <v>12</v>
      </c>
      <c r="E87" s="424">
        <f t="shared" si="79"/>
        <v>6122987</v>
      </c>
      <c r="F87" s="424">
        <f>'[10]JANUARY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216</v>
      </c>
      <c r="AD87" s="436"/>
      <c r="AE87" s="436"/>
    </row>
    <row r="88" spans="1:31" ht="18.75">
      <c r="A88" s="421">
        <v>76</v>
      </c>
      <c r="B88" s="9" t="s">
        <v>220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220</v>
      </c>
      <c r="AD88" s="436"/>
      <c r="AE88" s="436"/>
    </row>
    <row r="89" spans="1:31" ht="18.75">
      <c r="A89" s="421"/>
      <c r="B89" s="9" t="s">
        <v>224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224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226</v>
      </c>
      <c r="C92" s="424"/>
      <c r="AC92" s="436"/>
      <c r="AD92" s="436"/>
      <c r="AE92" s="436"/>
    </row>
    <row r="93" spans="1:31" ht="37.5">
      <c r="A93" s="421">
        <v>79</v>
      </c>
      <c r="B93" s="12" t="s">
        <v>227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'[10]JANUARY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227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120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866</v>
      </c>
      <c r="AC99" s="436"/>
      <c r="AD99" s="436"/>
      <c r="AE99" s="436"/>
    </row>
    <row r="100" spans="1:31" ht="18.75">
      <c r="A100" s="421">
        <v>85</v>
      </c>
      <c r="B100" s="9" t="s">
        <v>628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628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</v>
      </c>
      <c r="F101" s="424">
        <f>'[10]JANUARY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'[10]JANUARY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120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164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'[10]JANUARY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192</v>
      </c>
      <c r="C112" s="430">
        <v>450086.5</v>
      </c>
      <c r="D112" s="423">
        <v>12</v>
      </c>
      <c r="E112" s="424">
        <f t="shared" si="127"/>
        <v>5401038</v>
      </c>
      <c r="F112" s="424">
        <f>'[10]JANUARY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913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120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914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916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62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361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364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642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365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366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367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369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370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371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372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359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373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375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376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378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380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381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382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383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384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385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387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644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388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394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398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401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402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403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406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996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997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2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2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2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20" t="s">
        <v>1027</v>
      </c>
      <c r="AB4" s="420" t="s">
        <v>1028</v>
      </c>
      <c r="AC4" s="731"/>
    </row>
    <row r="5" spans="1:32" ht="30">
      <c r="A5" s="706">
        <v>1</v>
      </c>
      <c r="B5" s="714" t="s">
        <v>978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978</v>
      </c>
      <c r="AE5" s="436"/>
      <c r="AF5" s="436"/>
    </row>
    <row r="6" spans="1:32" ht="15">
      <c r="A6" s="706">
        <v>2</v>
      </c>
      <c r="B6" s="706" t="s">
        <v>979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979</v>
      </c>
      <c r="AE6" s="436"/>
      <c r="AF6" s="436"/>
    </row>
    <row r="7" spans="1:32" ht="15">
      <c r="A7" s="706">
        <v>3</v>
      </c>
      <c r="B7" s="706" t="s">
        <v>981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981</v>
      </c>
      <c r="AE7" s="436"/>
      <c r="AF7" s="436"/>
    </row>
    <row r="8" spans="1:32" ht="15">
      <c r="A8" s="706">
        <v>4</v>
      </c>
      <c r="B8" s="706" t="s">
        <v>192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192</v>
      </c>
      <c r="AE8" s="436"/>
      <c r="AF8" s="436"/>
    </row>
    <row r="9" spans="1:32" ht="35.25" customHeight="1">
      <c r="B9" s="6" t="s">
        <v>996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997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1124" t="s">
        <v>0</v>
      </c>
      <c r="B1" s="1124"/>
      <c r="C1" s="1124"/>
      <c r="D1" s="1124"/>
      <c r="E1" s="1124"/>
      <c r="F1" s="1124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1029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1030</v>
      </c>
      <c r="K4" s="5" t="s">
        <v>562</v>
      </c>
      <c r="L4" s="269" t="s">
        <v>1031</v>
      </c>
      <c r="M4" s="65" t="s">
        <v>1032</v>
      </c>
      <c r="N4" s="65" t="s">
        <v>1033</v>
      </c>
      <c r="O4" s="65" t="s">
        <v>596</v>
      </c>
      <c r="P4" s="65" t="s">
        <v>1034</v>
      </c>
      <c r="Q4" s="65" t="s">
        <v>1035</v>
      </c>
      <c r="R4" s="65"/>
      <c r="S4" s="282" t="s">
        <v>1036</v>
      </c>
      <c r="T4" s="283" t="s">
        <v>1037</v>
      </c>
      <c r="U4" s="65" t="s">
        <v>471</v>
      </c>
      <c r="V4" s="284" t="s">
        <v>816</v>
      </c>
    </row>
    <row r="5" spans="1:24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270" t="s">
        <v>21</v>
      </c>
      <c r="K5" s="6"/>
      <c r="L5" s="270" t="s">
        <v>21</v>
      </c>
      <c r="M5" s="67"/>
      <c r="N5" s="67" t="s">
        <v>21</v>
      </c>
      <c r="O5" s="67"/>
      <c r="P5" s="271" t="s">
        <v>21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211</v>
      </c>
      <c r="C7" s="2" t="s">
        <v>910</v>
      </c>
      <c r="D7" s="13" t="s">
        <v>56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574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120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27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27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27" ht="83.25" customHeight="1">
      <c r="A4" s="418" t="s">
        <v>469</v>
      </c>
      <c r="B4" s="419" t="s">
        <v>470</v>
      </c>
      <c r="C4" s="420" t="s">
        <v>1038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1039</v>
      </c>
    </row>
    <row r="5" spans="1:27" ht="15">
      <c r="A5" s="706">
        <v>1</v>
      </c>
      <c r="B5" s="707" t="s">
        <v>971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972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973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974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975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340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976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977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978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979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980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309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981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982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904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983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985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1040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986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192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1167" t="s">
        <v>0</v>
      </c>
      <c r="B1" s="1167"/>
      <c r="C1" s="1167"/>
      <c r="D1" s="1167"/>
      <c r="E1" s="1167"/>
      <c r="F1" s="1167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1041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871</v>
      </c>
      <c r="M4" s="686" t="s">
        <v>872</v>
      </c>
      <c r="N4" s="686" t="s">
        <v>15</v>
      </c>
      <c r="O4" s="695" t="s">
        <v>16</v>
      </c>
      <c r="P4" s="686" t="s">
        <v>17</v>
      </c>
      <c r="Q4" s="697" t="s">
        <v>18</v>
      </c>
      <c r="R4" s="698" t="s">
        <v>1042</v>
      </c>
      <c r="S4" s="699" t="s">
        <v>1043</v>
      </c>
    </row>
    <row r="5" spans="1:20">
      <c r="A5" s="679"/>
      <c r="B5" s="679"/>
      <c r="C5" s="720"/>
      <c r="D5" s="720"/>
      <c r="E5" s="721" t="s">
        <v>21</v>
      </c>
      <c r="F5" s="721" t="s">
        <v>21</v>
      </c>
      <c r="G5" s="721" t="s">
        <v>21</v>
      </c>
      <c r="H5" s="721" t="s">
        <v>21</v>
      </c>
      <c r="I5" s="721" t="s">
        <v>21</v>
      </c>
      <c r="J5" s="729" t="s">
        <v>21</v>
      </c>
      <c r="K5" s="721" t="s">
        <v>21</v>
      </c>
      <c r="L5" s="721" t="s">
        <v>21</v>
      </c>
      <c r="M5" s="721" t="s">
        <v>21</v>
      </c>
      <c r="N5" s="721" t="s">
        <v>21</v>
      </c>
      <c r="O5" s="721" t="s">
        <v>21</v>
      </c>
      <c r="P5" s="721" t="s">
        <v>21</v>
      </c>
      <c r="Q5" s="730" t="s">
        <v>21</v>
      </c>
      <c r="R5" s="721" t="s">
        <v>21</v>
      </c>
      <c r="S5" s="729" t="s">
        <v>21</v>
      </c>
    </row>
    <row r="6" spans="1:20">
      <c r="A6" s="722" t="s">
        <v>22</v>
      </c>
      <c r="B6" s="720" t="s">
        <v>23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897</v>
      </c>
      <c r="C7" s="725" t="s">
        <v>44</v>
      </c>
      <c r="D7" s="689" t="s">
        <v>39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904</v>
      </c>
      <c r="C8" s="727" t="s">
        <v>217</v>
      </c>
      <c r="D8" s="728" t="s">
        <v>575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120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1166"/>
      <c r="B1" s="1166"/>
      <c r="C1" s="1166"/>
      <c r="D1" s="1166"/>
      <c r="E1" s="1166"/>
      <c r="F1" s="1166"/>
      <c r="G1" s="1166"/>
      <c r="H1" s="1166"/>
      <c r="I1" s="1166"/>
      <c r="J1" s="1166"/>
    </row>
    <row r="2" spans="1:10" ht="20.25">
      <c r="A2" s="1166"/>
      <c r="B2" s="1166"/>
      <c r="C2" s="1166"/>
      <c r="D2" s="1166"/>
      <c r="E2" s="1166"/>
      <c r="F2" s="1166"/>
      <c r="G2" s="1166"/>
      <c r="H2" s="1166"/>
      <c r="I2" s="1166"/>
      <c r="J2" s="1166"/>
    </row>
  </sheetData>
  <mergeCells count="2">
    <mergeCell ref="A1:J1"/>
    <mergeCell ref="A2:J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1166" t="s">
        <v>518</v>
      </c>
      <c r="B1" s="1166"/>
      <c r="C1" s="1166"/>
      <c r="D1" s="1166"/>
      <c r="E1" s="1166"/>
      <c r="F1" s="1166"/>
      <c r="G1" s="1166"/>
    </row>
    <row r="2" spans="1:8" ht="20.25">
      <c r="A2" s="1166" t="s">
        <v>1007</v>
      </c>
      <c r="B2" s="1166"/>
      <c r="C2" s="1166"/>
      <c r="D2" s="1166"/>
      <c r="E2" s="1166"/>
      <c r="F2" s="1166"/>
      <c r="G2" s="1166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520</v>
      </c>
      <c r="B4" s="703" t="s">
        <v>521</v>
      </c>
      <c r="C4" s="703" t="s">
        <v>522</v>
      </c>
      <c r="D4" s="703" t="s">
        <v>524</v>
      </c>
      <c r="E4" s="703" t="s">
        <v>1044</v>
      </c>
      <c r="F4" s="703" t="s">
        <v>1045</v>
      </c>
      <c r="G4" s="704" t="s">
        <v>1046</v>
      </c>
      <c r="H4" s="704" t="s">
        <v>1047</v>
      </c>
    </row>
    <row r="5" spans="1:8" ht="14.25">
      <c r="A5" s="703"/>
      <c r="B5" s="703"/>
      <c r="C5" s="703"/>
      <c r="D5" s="703"/>
      <c r="E5" s="703"/>
      <c r="F5" s="705" t="s">
        <v>21</v>
      </c>
      <c r="G5" s="705" t="s">
        <v>21</v>
      </c>
      <c r="H5" s="705" t="s">
        <v>21</v>
      </c>
    </row>
    <row r="6" spans="1:8" ht="35.1" customHeight="1">
      <c r="A6" s="706">
        <v>1</v>
      </c>
      <c r="B6" s="707" t="s">
        <v>971</v>
      </c>
      <c r="C6" s="708" t="s">
        <v>654</v>
      </c>
      <c r="D6" s="1117" t="s">
        <v>683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972</v>
      </c>
      <c r="C7" s="714" t="s">
        <v>654</v>
      </c>
      <c r="D7" s="1117" t="s">
        <v>1009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973</v>
      </c>
      <c r="C8" s="714" t="s">
        <v>654</v>
      </c>
      <c r="D8" s="1117" t="s">
        <v>1009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974</v>
      </c>
      <c r="C9" s="714" t="s">
        <v>654</v>
      </c>
      <c r="D9" s="1117" t="s">
        <v>1009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975</v>
      </c>
      <c r="C10" s="714" t="s">
        <v>1011</v>
      </c>
      <c r="D10" s="1117" t="s">
        <v>1013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340</v>
      </c>
      <c r="C11" s="714" t="s">
        <v>1011</v>
      </c>
      <c r="D11" s="1117" t="s">
        <v>1015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976</v>
      </c>
      <c r="C12" s="714" t="s">
        <v>1011</v>
      </c>
      <c r="D12" s="1117" t="s">
        <v>1017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977</v>
      </c>
      <c r="C13" s="714" t="s">
        <v>1011</v>
      </c>
      <c r="D13" s="1117" t="s">
        <v>1017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978</v>
      </c>
      <c r="C14" s="714" t="s">
        <v>1011</v>
      </c>
      <c r="D14" s="1117" t="s">
        <v>694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979</v>
      </c>
      <c r="C15" s="714" t="s">
        <v>1011</v>
      </c>
      <c r="D15" s="1117" t="s">
        <v>694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980</v>
      </c>
      <c r="C16" s="714" t="s">
        <v>1020</v>
      </c>
      <c r="D16" s="1117" t="s">
        <v>1009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309</v>
      </c>
      <c r="C17" s="714" t="s">
        <v>1020</v>
      </c>
      <c r="D17" s="1117" t="s">
        <v>1009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981</v>
      </c>
      <c r="C18" s="714" t="s">
        <v>1020</v>
      </c>
      <c r="D18" s="1117" t="s">
        <v>694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982</v>
      </c>
      <c r="C19" s="714" t="s">
        <v>1021</v>
      </c>
      <c r="D19" s="1117" t="s">
        <v>1023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904</v>
      </c>
      <c r="C20" s="714" t="s">
        <v>1021</v>
      </c>
      <c r="D20" s="1117" t="s">
        <v>1023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983</v>
      </c>
      <c r="C21" s="714" t="s">
        <v>1021</v>
      </c>
      <c r="D21" s="1117" t="s">
        <v>1017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985</v>
      </c>
      <c r="C22" s="714" t="s">
        <v>705</v>
      </c>
      <c r="D22" s="1117" t="s">
        <v>1017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1040</v>
      </c>
      <c r="C23" s="714" t="s">
        <v>772</v>
      </c>
      <c r="D23" s="1117" t="s">
        <v>1015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986</v>
      </c>
      <c r="C24" s="714" t="s">
        <v>1024</v>
      </c>
      <c r="D24" s="1117" t="s">
        <v>1013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192</v>
      </c>
      <c r="C25" s="714" t="s">
        <v>1026</v>
      </c>
      <c r="D25" s="1117" t="s">
        <v>694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120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1168" t="s">
        <v>0</v>
      </c>
      <c r="B1" s="1168"/>
      <c r="C1" s="1168"/>
      <c r="D1" s="1168"/>
      <c r="E1" s="1168"/>
      <c r="F1" s="1168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1041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871</v>
      </c>
      <c r="M4" s="686" t="s">
        <v>872</v>
      </c>
      <c r="N4" s="686" t="s">
        <v>15</v>
      </c>
      <c r="O4" s="695" t="s">
        <v>16</v>
      </c>
      <c r="P4" s="686" t="s">
        <v>17</v>
      </c>
      <c r="Q4" s="697" t="s">
        <v>18</v>
      </c>
      <c r="R4" s="698" t="s">
        <v>1042</v>
      </c>
      <c r="S4" s="699" t="s">
        <v>1043</v>
      </c>
      <c r="T4" s="1"/>
    </row>
    <row r="5" spans="1:20" ht="18.75">
      <c r="A5" s="1"/>
      <c r="B5" s="1"/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464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465" t="s">
        <v>21</v>
      </c>
      <c r="R5" s="67" t="s">
        <v>21</v>
      </c>
      <c r="S5" s="464" t="s">
        <v>21</v>
      </c>
      <c r="T5" s="1"/>
    </row>
    <row r="6" spans="1:20" ht="18.75">
      <c r="A6" s="687" t="s">
        <v>22</v>
      </c>
      <c r="B6" s="688" t="s">
        <v>23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1048</v>
      </c>
      <c r="C7" s="244" t="s">
        <v>1049</v>
      </c>
      <c r="D7" s="689" t="s">
        <v>225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196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1050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551</v>
      </c>
    </row>
    <row r="5" spans="1:5" ht="17.25" customHeight="1">
      <c r="C5" s="6"/>
      <c r="D5" s="6"/>
      <c r="E5" s="652" t="s">
        <v>21</v>
      </c>
    </row>
    <row r="6" spans="1:5" ht="20.100000000000001" customHeight="1">
      <c r="A6" s="7" t="s">
        <v>22</v>
      </c>
      <c r="B6" s="6" t="s">
        <v>23</v>
      </c>
      <c r="C6" s="6"/>
      <c r="D6" s="6"/>
      <c r="E6" s="652"/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655">
        <v>540000</v>
      </c>
    </row>
    <row r="8" spans="1:5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655">
        <v>180000</v>
      </c>
    </row>
    <row r="9" spans="1:5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655">
        <v>180000</v>
      </c>
    </row>
    <row r="10" spans="1:5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655">
        <v>180000</v>
      </c>
    </row>
    <row r="11" spans="1:5" ht="20.100000000000001" customHeight="1">
      <c r="A11" s="8">
        <v>5</v>
      </c>
      <c r="B11" s="12" t="s">
        <v>302</v>
      </c>
      <c r="C11" s="2" t="s">
        <v>890</v>
      </c>
      <c r="D11" s="8" t="s">
        <v>29</v>
      </c>
      <c r="E11" s="655">
        <v>180000</v>
      </c>
    </row>
    <row r="12" spans="1:5" ht="20.100000000000001" customHeight="1">
      <c r="A12" s="8">
        <v>6</v>
      </c>
      <c r="B12" s="9" t="s">
        <v>34</v>
      </c>
      <c r="C12" s="10" t="s">
        <v>893</v>
      </c>
      <c r="D12" s="13" t="s">
        <v>39</v>
      </c>
      <c r="E12" s="655">
        <v>126000</v>
      </c>
    </row>
    <row r="13" spans="1:5" ht="20.100000000000001" customHeight="1">
      <c r="A13" s="8">
        <v>7</v>
      </c>
      <c r="B13" s="9" t="s">
        <v>37</v>
      </c>
      <c r="C13" s="2" t="s">
        <v>38</v>
      </c>
      <c r="D13" s="8" t="s">
        <v>42</v>
      </c>
      <c r="E13" s="655">
        <v>126000</v>
      </c>
    </row>
    <row r="14" spans="1:5" ht="20.100000000000001" customHeight="1">
      <c r="A14" s="8">
        <v>8</v>
      </c>
      <c r="B14" s="9" t="s">
        <v>40</v>
      </c>
      <c r="C14" s="2" t="s">
        <v>619</v>
      </c>
      <c r="D14" s="13" t="s">
        <v>191</v>
      </c>
      <c r="E14" s="655">
        <v>90000</v>
      </c>
    </row>
    <row r="15" spans="1:5" ht="20.100000000000001" customHeight="1">
      <c r="A15" s="8">
        <v>9</v>
      </c>
      <c r="B15" s="12" t="s">
        <v>43</v>
      </c>
      <c r="C15" s="15" t="s">
        <v>44</v>
      </c>
      <c r="D15" s="13" t="s">
        <v>42</v>
      </c>
      <c r="E15" s="655">
        <v>126000</v>
      </c>
    </row>
    <row r="16" spans="1:5" ht="20.100000000000001" customHeight="1">
      <c r="A16" s="8">
        <v>10</v>
      </c>
      <c r="B16" s="9" t="s">
        <v>45</v>
      </c>
      <c r="C16" s="2" t="s">
        <v>46</v>
      </c>
      <c r="D16" s="8" t="s">
        <v>53</v>
      </c>
      <c r="E16" s="655">
        <v>90000</v>
      </c>
    </row>
    <row r="17" spans="1:5" ht="20.100000000000001" customHeight="1">
      <c r="A17" s="8">
        <v>11</v>
      </c>
      <c r="B17" s="9" t="s">
        <v>48</v>
      </c>
      <c r="C17" s="2" t="s">
        <v>49</v>
      </c>
      <c r="D17" s="8" t="s">
        <v>42</v>
      </c>
      <c r="E17" s="655">
        <v>126000</v>
      </c>
    </row>
    <row r="18" spans="1:5" ht="20.100000000000001" customHeight="1">
      <c r="A18" s="8">
        <v>12</v>
      </c>
      <c r="B18" s="9" t="s">
        <v>51</v>
      </c>
      <c r="C18" s="10" t="s">
        <v>61</v>
      </c>
      <c r="D18" s="13" t="s">
        <v>575</v>
      </c>
      <c r="E18" s="655">
        <v>90000</v>
      </c>
    </row>
    <row r="19" spans="1:5" ht="20.100000000000001" customHeight="1">
      <c r="A19" s="8">
        <v>13</v>
      </c>
      <c r="B19" s="16" t="s">
        <v>54</v>
      </c>
      <c r="C19" s="2" t="s">
        <v>55</v>
      </c>
      <c r="D19" s="13" t="s">
        <v>59</v>
      </c>
      <c r="E19" s="655">
        <v>90000</v>
      </c>
    </row>
    <row r="20" spans="1:5" ht="20.100000000000001" customHeight="1">
      <c r="A20" s="8">
        <v>14</v>
      </c>
      <c r="B20" s="16" t="s">
        <v>57</v>
      </c>
      <c r="C20" s="2" t="s">
        <v>58</v>
      </c>
      <c r="D20" s="13" t="s">
        <v>984</v>
      </c>
      <c r="E20" s="655">
        <v>90000</v>
      </c>
    </row>
    <row r="21" spans="1:5" ht="20.100000000000001" customHeight="1">
      <c r="A21" s="8">
        <v>15</v>
      </c>
      <c r="B21" s="16" t="s">
        <v>60</v>
      </c>
      <c r="C21" s="2" t="s">
        <v>61</v>
      </c>
      <c r="D21" s="13" t="s">
        <v>984</v>
      </c>
      <c r="E21" s="655">
        <v>90000</v>
      </c>
    </row>
    <row r="22" spans="1:5" ht="18.75" customHeight="1">
      <c r="A22" s="8">
        <v>16</v>
      </c>
      <c r="B22" s="9" t="s">
        <v>65</v>
      </c>
      <c r="C22" s="10" t="s">
        <v>177</v>
      </c>
      <c r="D22" s="13" t="s">
        <v>70</v>
      </c>
      <c r="E22" s="655">
        <v>68000</v>
      </c>
    </row>
    <row r="23" spans="1:5" ht="20.100000000000001" customHeight="1">
      <c r="A23" s="8">
        <v>17</v>
      </c>
      <c r="B23" s="12" t="s">
        <v>68</v>
      </c>
      <c r="C23" s="15" t="s">
        <v>69</v>
      </c>
      <c r="D23" s="8" t="s">
        <v>179</v>
      </c>
      <c r="E23" s="655">
        <v>68000</v>
      </c>
    </row>
    <row r="24" spans="1:5" ht="21.6" customHeight="1">
      <c r="A24" s="8">
        <v>18</v>
      </c>
      <c r="B24" s="9" t="s">
        <v>71</v>
      </c>
      <c r="C24" s="15" t="s">
        <v>72</v>
      </c>
      <c r="D24" s="13" t="s">
        <v>179</v>
      </c>
      <c r="E24" s="655">
        <v>68000</v>
      </c>
    </row>
    <row r="25" spans="1:5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655">
        <v>68000</v>
      </c>
    </row>
    <row r="26" spans="1:5" ht="20.100000000000001" customHeight="1">
      <c r="A26" s="8">
        <v>20</v>
      </c>
      <c r="B26" s="12" t="s">
        <v>76</v>
      </c>
      <c r="C26" s="15" t="s">
        <v>77</v>
      </c>
      <c r="D26" s="8" t="s">
        <v>81</v>
      </c>
      <c r="E26" s="655">
        <v>68000</v>
      </c>
    </row>
    <row r="27" spans="1:5" ht="18.75" customHeight="1">
      <c r="A27" s="8">
        <v>21</v>
      </c>
      <c r="B27" s="2" t="s">
        <v>483</v>
      </c>
      <c r="C27" s="2" t="s">
        <v>94</v>
      </c>
      <c r="D27" s="8" t="s">
        <v>86</v>
      </c>
      <c r="E27" s="655">
        <v>54000</v>
      </c>
    </row>
    <row r="28" spans="1:5" ht="18.75" customHeight="1">
      <c r="A28" s="8">
        <v>22</v>
      </c>
      <c r="B28" s="16" t="s">
        <v>79</v>
      </c>
      <c r="C28" s="10" t="s">
        <v>94</v>
      </c>
      <c r="D28" s="13" t="s">
        <v>86</v>
      </c>
      <c r="E28" s="655">
        <v>54000</v>
      </c>
    </row>
    <row r="29" spans="1:5" ht="20.100000000000001" customHeight="1">
      <c r="A29" s="8">
        <v>23</v>
      </c>
      <c r="B29" s="9" t="s">
        <v>82</v>
      </c>
      <c r="C29" s="15" t="s">
        <v>69</v>
      </c>
      <c r="D29" s="8" t="s">
        <v>86</v>
      </c>
      <c r="E29" s="655">
        <v>54000</v>
      </c>
    </row>
    <row r="30" spans="1:5" ht="18.75" customHeight="1">
      <c r="A30" s="8">
        <v>24</v>
      </c>
      <c r="B30" s="16" t="s">
        <v>84</v>
      </c>
      <c r="C30" s="10" t="s">
        <v>85</v>
      </c>
      <c r="D30" s="13" t="s">
        <v>99</v>
      </c>
      <c r="E30" s="655">
        <v>54000</v>
      </c>
    </row>
    <row r="31" spans="1:5" ht="18.75" customHeight="1">
      <c r="A31" s="8">
        <v>25</v>
      </c>
      <c r="B31" s="16" t="s">
        <v>87</v>
      </c>
      <c r="C31" s="2" t="s">
        <v>88</v>
      </c>
      <c r="D31" s="8" t="s">
        <v>225</v>
      </c>
      <c r="E31" s="655">
        <v>54000</v>
      </c>
    </row>
    <row r="32" spans="1:5" ht="18.75" customHeight="1">
      <c r="A32" s="8">
        <v>26</v>
      </c>
      <c r="B32" s="16" t="s">
        <v>89</v>
      </c>
      <c r="C32" s="2" t="s">
        <v>88</v>
      </c>
      <c r="D32" s="8" t="s">
        <v>225</v>
      </c>
      <c r="E32" s="655">
        <v>54000</v>
      </c>
    </row>
    <row r="33" spans="1:5" ht="18.75" customHeight="1">
      <c r="A33" s="8">
        <v>27</v>
      </c>
      <c r="B33" s="16" t="s">
        <v>91</v>
      </c>
      <c r="C33" s="15" t="s">
        <v>622</v>
      </c>
      <c r="D33" s="13" t="s">
        <v>86</v>
      </c>
      <c r="E33" s="655">
        <v>54000</v>
      </c>
    </row>
    <row r="34" spans="1:5" ht="18.75" customHeight="1">
      <c r="A34" s="8">
        <v>28</v>
      </c>
      <c r="B34" s="16" t="s">
        <v>93</v>
      </c>
      <c r="C34" s="2" t="s">
        <v>94</v>
      </c>
      <c r="D34" s="8" t="s">
        <v>225</v>
      </c>
      <c r="E34" s="655">
        <v>54000</v>
      </c>
    </row>
    <row r="35" spans="1:5" ht="18.75" customHeight="1">
      <c r="A35" s="8">
        <v>29</v>
      </c>
      <c r="B35" s="16" t="s">
        <v>95</v>
      </c>
      <c r="C35" s="2" t="s">
        <v>623</v>
      </c>
      <c r="D35" s="8" t="s">
        <v>225</v>
      </c>
      <c r="E35" s="655">
        <v>54000</v>
      </c>
    </row>
    <row r="36" spans="1:5" ht="18.75" customHeight="1">
      <c r="A36" s="8">
        <v>30</v>
      </c>
      <c r="B36" s="16" t="s">
        <v>103</v>
      </c>
      <c r="C36" s="10" t="s">
        <v>104</v>
      </c>
      <c r="D36" s="13" t="s">
        <v>111</v>
      </c>
      <c r="E36" s="655">
        <v>54000</v>
      </c>
    </row>
    <row r="37" spans="1:5" ht="18.75" customHeight="1">
      <c r="A37" s="8">
        <v>31</v>
      </c>
      <c r="B37" s="16" t="s">
        <v>106</v>
      </c>
      <c r="C37" s="10" t="s">
        <v>107</v>
      </c>
      <c r="D37" s="13" t="s">
        <v>277</v>
      </c>
      <c r="E37" s="655">
        <v>54000</v>
      </c>
    </row>
    <row r="38" spans="1:5" ht="26.25" customHeight="1">
      <c r="A38" s="8"/>
      <c r="B38" s="18" t="s">
        <v>120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121</v>
      </c>
      <c r="C40" s="2"/>
      <c r="D40" s="13"/>
      <c r="E40" s="655"/>
    </row>
    <row r="41" spans="1:5" ht="18.75" customHeight="1">
      <c r="A41" s="8">
        <v>1</v>
      </c>
      <c r="B41" s="16" t="s">
        <v>122</v>
      </c>
      <c r="C41" s="2" t="s">
        <v>123</v>
      </c>
      <c r="D41" s="8" t="s">
        <v>124</v>
      </c>
      <c r="E41" s="655">
        <v>270000</v>
      </c>
    </row>
    <row r="42" spans="1:5" ht="18.75" customHeight="1">
      <c r="A42" s="8">
        <v>2</v>
      </c>
      <c r="B42" s="16" t="s">
        <v>127</v>
      </c>
      <c r="C42" s="2" t="s">
        <v>128</v>
      </c>
      <c r="D42" s="8" t="s">
        <v>81</v>
      </c>
      <c r="E42" s="655">
        <v>68000</v>
      </c>
    </row>
    <row r="43" spans="1:5" ht="18.75" customHeight="1">
      <c r="A43" s="8">
        <v>3</v>
      </c>
      <c r="B43" s="9" t="s">
        <v>129</v>
      </c>
      <c r="C43" s="2" t="s">
        <v>128</v>
      </c>
      <c r="D43" s="13" t="s">
        <v>75</v>
      </c>
      <c r="E43" s="655">
        <v>68000</v>
      </c>
    </row>
    <row r="44" spans="1:5" ht="18.75" customHeight="1">
      <c r="A44" s="8">
        <v>4</v>
      </c>
      <c r="B44" s="9" t="s">
        <v>133</v>
      </c>
      <c r="C44" s="2" t="s">
        <v>134</v>
      </c>
      <c r="D44" s="13" t="s">
        <v>225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137</v>
      </c>
      <c r="C47" s="3"/>
      <c r="D47" s="22"/>
      <c r="E47" s="658"/>
    </row>
    <row r="48" spans="1:5" ht="20.100000000000001" customHeight="1">
      <c r="A48" s="8">
        <v>1</v>
      </c>
      <c r="B48" s="9" t="s">
        <v>895</v>
      </c>
      <c r="C48" s="2" t="s">
        <v>896</v>
      </c>
      <c r="D48" s="8" t="s">
        <v>124</v>
      </c>
      <c r="E48" s="655">
        <v>0</v>
      </c>
    </row>
    <row r="49" spans="1:5" ht="20.100000000000001" customHeight="1">
      <c r="A49" s="8">
        <v>2</v>
      </c>
      <c r="B49" s="9" t="s">
        <v>897</v>
      </c>
      <c r="C49" s="2" t="s">
        <v>44</v>
      </c>
      <c r="D49" s="8" t="s">
        <v>39</v>
      </c>
      <c r="E49" s="655">
        <v>0</v>
      </c>
    </row>
    <row r="50" spans="1:5" ht="20.100000000000001" customHeight="1">
      <c r="A50" s="8">
        <v>3</v>
      </c>
      <c r="B50" s="9" t="s">
        <v>138</v>
      </c>
      <c r="C50" s="2" t="s">
        <v>624</v>
      </c>
      <c r="D50" s="8" t="s">
        <v>209</v>
      </c>
      <c r="E50" s="655">
        <v>180000</v>
      </c>
    </row>
    <row r="51" spans="1:5" ht="20.100000000000001" customHeight="1">
      <c r="A51" s="8">
        <v>4</v>
      </c>
      <c r="B51" s="9" t="s">
        <v>141</v>
      </c>
      <c r="C51" s="2" t="s">
        <v>142</v>
      </c>
      <c r="D51" s="8" t="s">
        <v>39</v>
      </c>
      <c r="E51" s="655">
        <v>126000</v>
      </c>
    </row>
    <row r="52" spans="1:5" ht="20.100000000000001" customHeight="1">
      <c r="A52" s="8">
        <v>5</v>
      </c>
      <c r="B52" s="9" t="s">
        <v>143</v>
      </c>
      <c r="C52" s="2" t="s">
        <v>142</v>
      </c>
      <c r="D52" s="8" t="s">
        <v>39</v>
      </c>
      <c r="E52" s="655">
        <v>126000</v>
      </c>
    </row>
    <row r="53" spans="1:5" ht="20.100000000000001" customHeight="1">
      <c r="A53" s="8">
        <v>6</v>
      </c>
      <c r="B53" s="9" t="s">
        <v>144</v>
      </c>
      <c r="C53" s="2" t="s">
        <v>142</v>
      </c>
      <c r="D53" s="8" t="s">
        <v>42</v>
      </c>
      <c r="E53" s="655">
        <v>126000</v>
      </c>
    </row>
    <row r="54" spans="1:5" ht="20.100000000000001" customHeight="1">
      <c r="A54" s="8">
        <v>7</v>
      </c>
      <c r="B54" s="12" t="s">
        <v>145</v>
      </c>
      <c r="C54" s="2" t="s">
        <v>142</v>
      </c>
      <c r="D54" s="8" t="s">
        <v>42</v>
      </c>
      <c r="E54" s="655">
        <v>126000</v>
      </c>
    </row>
    <row r="55" spans="1:5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68000</v>
      </c>
    </row>
    <row r="56" spans="1:5" ht="20.100000000000001" customHeight="1">
      <c r="A56" s="8">
        <v>9</v>
      </c>
      <c r="B56" s="9" t="s">
        <v>153</v>
      </c>
      <c r="C56" s="2" t="s">
        <v>150</v>
      </c>
      <c r="D56" s="8" t="s">
        <v>99</v>
      </c>
      <c r="E56" s="655">
        <v>54000</v>
      </c>
    </row>
    <row r="57" spans="1:5" ht="20.100000000000001" customHeight="1">
      <c r="A57" s="8">
        <v>10</v>
      </c>
      <c r="B57" s="9" t="s">
        <v>155</v>
      </c>
      <c r="C57" s="2" t="s">
        <v>150</v>
      </c>
      <c r="D57" s="8" t="s">
        <v>99</v>
      </c>
      <c r="E57" s="655">
        <v>54000</v>
      </c>
    </row>
    <row r="58" spans="1:5" ht="25.5" customHeight="1">
      <c r="A58" s="8"/>
      <c r="B58" s="18" t="s">
        <v>120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157</v>
      </c>
      <c r="C60" s="19"/>
      <c r="D60" s="19"/>
      <c r="E60" s="662"/>
    </row>
    <row r="61" spans="1:5" ht="20.100000000000001" customHeight="1">
      <c r="A61" s="8">
        <v>1</v>
      </c>
      <c r="B61" s="9" t="s">
        <v>899</v>
      </c>
      <c r="C61" s="10" t="s">
        <v>159</v>
      </c>
      <c r="D61" s="13" t="s">
        <v>124</v>
      </c>
      <c r="E61" s="655">
        <v>270000</v>
      </c>
    </row>
    <row r="62" spans="1:5" ht="20.100000000000001" customHeight="1">
      <c r="A62" s="8">
        <v>2</v>
      </c>
      <c r="B62" s="9" t="s">
        <v>160</v>
      </c>
      <c r="C62" s="10" t="s">
        <v>161</v>
      </c>
      <c r="D62" s="13" t="s">
        <v>162</v>
      </c>
      <c r="E62" s="655">
        <v>126000</v>
      </c>
    </row>
    <row r="63" spans="1:5" ht="20.100000000000001" customHeight="1">
      <c r="A63" s="8"/>
      <c r="B63" s="18" t="s">
        <v>120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163</v>
      </c>
      <c r="C65" s="19"/>
      <c r="D65" s="19"/>
      <c r="E65" s="662"/>
    </row>
    <row r="66" spans="1:5" ht="20.100000000000001" customHeight="1">
      <c r="A66" s="8">
        <v>1</v>
      </c>
      <c r="B66" s="9" t="s">
        <v>900</v>
      </c>
      <c r="C66" s="15" t="s">
        <v>901</v>
      </c>
      <c r="D66" s="8" t="s">
        <v>124</v>
      </c>
      <c r="E66" s="655">
        <v>270000</v>
      </c>
    </row>
    <row r="67" spans="1:5" ht="20.100000000000001" customHeight="1">
      <c r="A67" s="8">
        <v>2</v>
      </c>
      <c r="B67" s="313" t="s">
        <v>902</v>
      </c>
      <c r="C67" s="15" t="s">
        <v>903</v>
      </c>
      <c r="D67" s="13" t="s">
        <v>50</v>
      </c>
      <c r="E67" s="655">
        <v>126000</v>
      </c>
    </row>
    <row r="68" spans="1:5" ht="20.100000000000001" customHeight="1">
      <c r="A68" s="8">
        <v>3</v>
      </c>
      <c r="B68" s="9" t="s">
        <v>166</v>
      </c>
      <c r="C68" s="2" t="s">
        <v>52</v>
      </c>
      <c r="D68" s="8" t="s">
        <v>53</v>
      </c>
      <c r="E68" s="655">
        <v>90000</v>
      </c>
    </row>
    <row r="69" spans="1:5" ht="20.100000000000001" customHeight="1">
      <c r="A69" s="8">
        <v>4</v>
      </c>
      <c r="B69" s="16" t="s">
        <v>904</v>
      </c>
      <c r="C69" s="15" t="s">
        <v>217</v>
      </c>
      <c r="D69" s="13" t="s">
        <v>575</v>
      </c>
      <c r="E69" s="655">
        <v>0</v>
      </c>
    </row>
    <row r="70" spans="1:5" ht="20.100000000000001" customHeight="1">
      <c r="A70" s="8">
        <v>7</v>
      </c>
      <c r="B70" s="9" t="s">
        <v>170</v>
      </c>
      <c r="C70" s="2" t="s">
        <v>150</v>
      </c>
      <c r="D70" s="8" t="s">
        <v>131</v>
      </c>
      <c r="E70" s="655">
        <v>68000</v>
      </c>
    </row>
    <row r="71" spans="1:5" ht="20.100000000000001" customHeight="1">
      <c r="A71" s="8">
        <v>8</v>
      </c>
      <c r="B71" s="9" t="s">
        <v>171</v>
      </c>
      <c r="C71" s="15" t="s">
        <v>72</v>
      </c>
      <c r="D71" s="8" t="s">
        <v>131</v>
      </c>
      <c r="E71" s="655">
        <v>68000</v>
      </c>
    </row>
    <row r="72" spans="1:5" ht="20.100000000000001" customHeight="1">
      <c r="A72" s="8">
        <v>9</v>
      </c>
      <c r="B72" s="9" t="s">
        <v>173</v>
      </c>
      <c r="C72" s="15" t="s">
        <v>72</v>
      </c>
      <c r="D72" s="8" t="s">
        <v>131</v>
      </c>
      <c r="E72" s="655">
        <v>68000</v>
      </c>
    </row>
    <row r="73" spans="1:5" ht="20.100000000000001" customHeight="1">
      <c r="A73" s="8">
        <v>10</v>
      </c>
      <c r="B73" s="9" t="s">
        <v>174</v>
      </c>
      <c r="C73" s="2" t="s">
        <v>625</v>
      </c>
      <c r="D73" s="8" t="s">
        <v>70</v>
      </c>
      <c r="E73" s="655">
        <v>68000</v>
      </c>
    </row>
    <row r="74" spans="1:5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55">
        <v>68000</v>
      </c>
    </row>
    <row r="75" spans="1:5" ht="27" customHeight="1">
      <c r="A75" s="8"/>
      <c r="B75" s="18" t="s">
        <v>120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182</v>
      </c>
      <c r="C77" s="19"/>
      <c r="D77" s="19"/>
      <c r="E77" s="662"/>
    </row>
    <row r="78" spans="1:5" ht="20.100000000000001" customHeight="1">
      <c r="A78" s="8">
        <v>1</v>
      </c>
      <c r="B78" s="9" t="s">
        <v>183</v>
      </c>
      <c r="C78" s="2" t="s">
        <v>184</v>
      </c>
      <c r="D78" s="8" t="s">
        <v>124</v>
      </c>
      <c r="E78" s="655">
        <v>270000</v>
      </c>
    </row>
    <row r="79" spans="1:5" ht="20.100000000000001" customHeight="1">
      <c r="A79" s="8">
        <v>2</v>
      </c>
      <c r="B79" s="9" t="s">
        <v>187</v>
      </c>
      <c r="C79" s="2" t="s">
        <v>188</v>
      </c>
      <c r="D79" s="8" t="s">
        <v>42</v>
      </c>
      <c r="E79" s="655">
        <v>126000</v>
      </c>
    </row>
    <row r="80" spans="1:5" ht="20.100000000000001" customHeight="1">
      <c r="A80" s="8">
        <v>3</v>
      </c>
      <c r="B80" s="9" t="s">
        <v>189</v>
      </c>
      <c r="C80" s="2" t="s">
        <v>190</v>
      </c>
      <c r="D80" s="13" t="s">
        <v>214</v>
      </c>
      <c r="E80" s="655">
        <v>90000</v>
      </c>
    </row>
    <row r="81" spans="1:5" ht="20.100000000000001" customHeight="1">
      <c r="A81" s="8">
        <v>4</v>
      </c>
      <c r="B81" s="9" t="s">
        <v>196</v>
      </c>
      <c r="C81" s="2" t="s">
        <v>197</v>
      </c>
      <c r="D81" s="8" t="s">
        <v>179</v>
      </c>
      <c r="E81" s="655">
        <v>68000</v>
      </c>
    </row>
    <row r="82" spans="1:5" ht="20.100000000000001" customHeight="1">
      <c r="A82" s="8">
        <v>5</v>
      </c>
      <c r="B82" s="9" t="s">
        <v>200</v>
      </c>
      <c r="C82" s="2" t="s">
        <v>181</v>
      </c>
      <c r="D82" s="8" t="s">
        <v>99</v>
      </c>
      <c r="E82" s="655">
        <v>54000</v>
      </c>
    </row>
    <row r="83" spans="1:5" ht="20.100000000000001" customHeight="1">
      <c r="A83" s="8">
        <v>6</v>
      </c>
      <c r="B83" s="9" t="s">
        <v>202</v>
      </c>
      <c r="C83" s="2" t="s">
        <v>203</v>
      </c>
      <c r="D83" s="8" t="s">
        <v>111</v>
      </c>
      <c r="E83" s="655">
        <v>54000</v>
      </c>
    </row>
    <row r="84" spans="1:5" ht="20.100000000000001" customHeight="1">
      <c r="A84" s="8"/>
      <c r="B84" s="18" t="s">
        <v>120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204</v>
      </c>
      <c r="C86" s="23"/>
      <c r="D86" s="19"/>
      <c r="E86" s="662"/>
    </row>
    <row r="87" spans="1:5" ht="20.100000000000001" customHeight="1">
      <c r="A87" s="8">
        <v>1</v>
      </c>
      <c r="B87" s="9" t="s">
        <v>207</v>
      </c>
      <c r="C87" s="2" t="s">
        <v>142</v>
      </c>
      <c r="D87" s="8" t="s">
        <v>39</v>
      </c>
      <c r="E87" s="655">
        <v>126000</v>
      </c>
    </row>
    <row r="88" spans="1:5" ht="20.100000000000001" customHeight="1">
      <c r="A88" s="8">
        <v>2</v>
      </c>
      <c r="B88" s="9" t="s">
        <v>205</v>
      </c>
      <c r="C88" s="2" t="s">
        <v>142</v>
      </c>
      <c r="D88" s="8" t="s">
        <v>39</v>
      </c>
      <c r="E88" s="655">
        <v>126000</v>
      </c>
    </row>
    <row r="89" spans="1:5" ht="20.100000000000001" customHeight="1">
      <c r="A89" s="8">
        <v>3</v>
      </c>
      <c r="B89" s="9" t="s">
        <v>210</v>
      </c>
      <c r="C89" s="2" t="s">
        <v>142</v>
      </c>
      <c r="D89" s="8" t="s">
        <v>42</v>
      </c>
      <c r="E89" s="655">
        <v>126000</v>
      </c>
    </row>
    <row r="90" spans="1:5" ht="21.6" customHeight="1">
      <c r="A90" s="8">
        <v>4</v>
      </c>
      <c r="B90" s="9" t="s">
        <v>211</v>
      </c>
      <c r="C90" s="2" t="s">
        <v>52</v>
      </c>
      <c r="D90" s="13" t="s">
        <v>53</v>
      </c>
      <c r="E90" s="655">
        <v>90000</v>
      </c>
    </row>
    <row r="91" spans="1:5" ht="21.6" customHeight="1">
      <c r="A91" s="8">
        <v>5</v>
      </c>
      <c r="B91" s="9" t="s">
        <v>212</v>
      </c>
      <c r="C91" s="2" t="s">
        <v>52</v>
      </c>
      <c r="D91" s="13" t="s">
        <v>53</v>
      </c>
      <c r="E91" s="655">
        <v>90000</v>
      </c>
    </row>
    <row r="92" spans="1:5" ht="21.6" customHeight="1">
      <c r="A92" s="8">
        <v>6</v>
      </c>
      <c r="B92" s="9" t="s">
        <v>213</v>
      </c>
      <c r="C92" s="10" t="s">
        <v>52</v>
      </c>
      <c r="D92" s="13" t="s">
        <v>574</v>
      </c>
      <c r="E92" s="655">
        <v>90000</v>
      </c>
    </row>
    <row r="93" spans="1:5" ht="21.6" customHeight="1">
      <c r="A93" s="8">
        <v>7</v>
      </c>
      <c r="B93" s="9" t="s">
        <v>215</v>
      </c>
      <c r="C93" s="15" t="s">
        <v>72</v>
      </c>
      <c r="D93" s="13" t="s">
        <v>131</v>
      </c>
      <c r="E93" s="655">
        <v>68000</v>
      </c>
    </row>
    <row r="94" spans="1:5" ht="21.6" customHeight="1">
      <c r="A94" s="8">
        <v>8</v>
      </c>
      <c r="B94" s="9" t="s">
        <v>216</v>
      </c>
      <c r="C94" s="15" t="s">
        <v>217</v>
      </c>
      <c r="D94" s="13" t="s">
        <v>67</v>
      </c>
      <c r="E94" s="655">
        <v>90000</v>
      </c>
    </row>
    <row r="95" spans="1:5" ht="21.6" customHeight="1">
      <c r="A95" s="8">
        <v>9</v>
      </c>
      <c r="B95" s="9" t="s">
        <v>220</v>
      </c>
      <c r="C95" s="2" t="s">
        <v>221</v>
      </c>
      <c r="D95" s="8" t="s">
        <v>75</v>
      </c>
      <c r="E95" s="665">
        <v>68000</v>
      </c>
    </row>
    <row r="96" spans="1:5" ht="21.6" customHeight="1">
      <c r="A96" s="8">
        <v>10</v>
      </c>
      <c r="B96" s="9" t="s">
        <v>224</v>
      </c>
      <c r="C96" s="15" t="s">
        <v>554</v>
      </c>
      <c r="D96" s="13" t="s">
        <v>108</v>
      </c>
      <c r="E96" s="665">
        <v>54000</v>
      </c>
    </row>
    <row r="97" spans="1:5" ht="20.100000000000001" customHeight="1">
      <c r="A97" s="8"/>
      <c r="B97" s="18" t="s">
        <v>120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226</v>
      </c>
      <c r="C99" s="19"/>
      <c r="D99" s="19"/>
      <c r="E99" s="662"/>
    </row>
    <row r="100" spans="1:5" ht="20.100000000000001" customHeight="1">
      <c r="A100" s="8">
        <v>1</v>
      </c>
      <c r="B100" s="12" t="s">
        <v>227</v>
      </c>
      <c r="C100" s="2" t="s">
        <v>626</v>
      </c>
      <c r="D100" s="14" t="s">
        <v>577</v>
      </c>
      <c r="E100" s="655">
        <v>270000</v>
      </c>
    </row>
    <row r="101" spans="1:5" ht="20.100000000000001" customHeight="1">
      <c r="A101" s="8">
        <v>2</v>
      </c>
      <c r="B101" s="9" t="s">
        <v>229</v>
      </c>
      <c r="C101" s="2" t="s">
        <v>230</v>
      </c>
      <c r="D101" s="13" t="s">
        <v>214</v>
      </c>
      <c r="E101" s="655">
        <v>90000</v>
      </c>
    </row>
    <row r="102" spans="1:5" ht="20.100000000000001" customHeight="1">
      <c r="A102" s="8">
        <v>3</v>
      </c>
      <c r="B102" s="9" t="s">
        <v>235</v>
      </c>
      <c r="C102" s="2" t="s">
        <v>627</v>
      </c>
      <c r="D102" s="13" t="s">
        <v>70</v>
      </c>
      <c r="E102" s="655">
        <v>68000</v>
      </c>
    </row>
    <row r="103" spans="1:5" ht="20.100000000000001" customHeight="1">
      <c r="A103" s="8">
        <v>4</v>
      </c>
      <c r="B103" s="9" t="s">
        <v>236</v>
      </c>
      <c r="C103" s="2" t="s">
        <v>199</v>
      </c>
      <c r="D103" s="13" t="s">
        <v>75</v>
      </c>
      <c r="E103" s="665">
        <v>68000</v>
      </c>
    </row>
    <row r="104" spans="1:5" ht="20.100000000000001" customHeight="1">
      <c r="A104" s="2"/>
      <c r="B104" s="18" t="s">
        <v>120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239</v>
      </c>
      <c r="C106" s="2"/>
      <c r="D106" s="2"/>
      <c r="E106" s="666"/>
    </row>
    <row r="107" spans="1:5" ht="20.100000000000001" customHeight="1">
      <c r="A107" s="2">
        <v>1</v>
      </c>
      <c r="B107" s="9" t="s">
        <v>628</v>
      </c>
      <c r="C107" s="10" t="s">
        <v>241</v>
      </c>
      <c r="D107" s="13" t="s">
        <v>124</v>
      </c>
      <c r="E107" s="655">
        <v>270000</v>
      </c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36</v>
      </c>
      <c r="E108" s="655">
        <v>180000</v>
      </c>
    </row>
    <row r="109" spans="1:5" ht="20.100000000000001" customHeight="1">
      <c r="A109" s="2">
        <v>3</v>
      </c>
      <c r="B109" s="9" t="s">
        <v>244</v>
      </c>
      <c r="C109" s="2" t="s">
        <v>629</v>
      </c>
      <c r="D109" s="8" t="s">
        <v>56</v>
      </c>
      <c r="E109" s="655">
        <v>90000</v>
      </c>
    </row>
    <row r="110" spans="1:5" ht="20.100000000000001" customHeight="1">
      <c r="A110" s="2">
        <v>4</v>
      </c>
      <c r="B110" s="9" t="s">
        <v>246</v>
      </c>
      <c r="C110" s="2" t="s">
        <v>629</v>
      </c>
      <c r="D110" s="8" t="s">
        <v>56</v>
      </c>
      <c r="E110" s="655">
        <v>90000</v>
      </c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911</v>
      </c>
      <c r="E111" s="665">
        <v>54000</v>
      </c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517</v>
      </c>
      <c r="E112" s="665">
        <v>54000</v>
      </c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108</v>
      </c>
      <c r="E113" s="665">
        <v>54000</v>
      </c>
    </row>
    <row r="114" spans="1:5" ht="25.5" customHeight="1">
      <c r="A114" s="2"/>
      <c r="B114" s="18" t="s">
        <v>120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257</v>
      </c>
      <c r="C116" s="19"/>
      <c r="D116" s="19"/>
      <c r="E116" s="662"/>
    </row>
    <row r="117" spans="1:5" ht="20.100000000000001" customHeight="1">
      <c r="A117" s="8">
        <v>1</v>
      </c>
      <c r="B117" s="12" t="s">
        <v>164</v>
      </c>
      <c r="C117" s="2" t="s">
        <v>142</v>
      </c>
      <c r="D117" s="8" t="s">
        <v>50</v>
      </c>
      <c r="E117" s="655">
        <v>126000</v>
      </c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70</v>
      </c>
      <c r="E118" s="655">
        <v>68000</v>
      </c>
    </row>
    <row r="119" spans="1:5" ht="20.100000000000001" customHeight="1">
      <c r="A119" s="8">
        <v>3</v>
      </c>
      <c r="B119" s="9" t="s">
        <v>192</v>
      </c>
      <c r="C119" s="10" t="s">
        <v>193</v>
      </c>
      <c r="D119" s="13" t="s">
        <v>67</v>
      </c>
      <c r="E119" s="655">
        <v>90000</v>
      </c>
    </row>
    <row r="120" spans="1:5" ht="24.75" customHeight="1">
      <c r="A120" s="2"/>
      <c r="B120" s="18" t="s">
        <v>120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268</v>
      </c>
      <c r="C122" s="19"/>
      <c r="D122" s="19"/>
      <c r="E122" s="662"/>
    </row>
    <row r="123" spans="1:5" ht="24.75" customHeight="1">
      <c r="A123" s="8">
        <v>1</v>
      </c>
      <c r="B123" s="12" t="s">
        <v>988</v>
      </c>
      <c r="C123" s="2" t="s">
        <v>989</v>
      </c>
      <c r="D123" s="8" t="s">
        <v>277</v>
      </c>
      <c r="E123" s="655">
        <v>54000</v>
      </c>
    </row>
    <row r="124" spans="1:5" ht="24.75" customHeight="1">
      <c r="A124" s="8">
        <v>2</v>
      </c>
      <c r="B124" s="9" t="s">
        <v>273</v>
      </c>
      <c r="C124" s="2" t="s">
        <v>274</v>
      </c>
      <c r="D124" s="8" t="s">
        <v>277</v>
      </c>
      <c r="E124" s="655">
        <v>54000</v>
      </c>
    </row>
    <row r="125" spans="1:5" ht="24.75" customHeight="1">
      <c r="A125" s="8">
        <v>3</v>
      </c>
      <c r="B125" s="9" t="s">
        <v>278</v>
      </c>
      <c r="C125" s="2" t="s">
        <v>279</v>
      </c>
      <c r="D125" s="8" t="s">
        <v>277</v>
      </c>
      <c r="E125" s="655">
        <v>54000</v>
      </c>
    </row>
    <row r="126" spans="1:5" ht="20.100000000000001" customHeight="1">
      <c r="A126" s="2"/>
      <c r="B126" s="18" t="s">
        <v>120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280</v>
      </c>
      <c r="C128" s="19"/>
      <c r="D128" s="19"/>
      <c r="E128" s="662"/>
    </row>
    <row r="129" spans="1:5" ht="20.100000000000001" customHeight="1">
      <c r="A129" s="2">
        <v>1</v>
      </c>
      <c r="B129" s="9" t="s">
        <v>281</v>
      </c>
      <c r="C129" s="10" t="s">
        <v>282</v>
      </c>
      <c r="D129" s="13" t="s">
        <v>124</v>
      </c>
      <c r="E129" s="655">
        <v>270000</v>
      </c>
    </row>
    <row r="130" spans="1:5" ht="20.100000000000001" customHeight="1">
      <c r="A130" s="2">
        <v>2</v>
      </c>
      <c r="B130" s="9" t="s">
        <v>283</v>
      </c>
      <c r="C130" s="10" t="s">
        <v>630</v>
      </c>
      <c r="D130" s="13" t="s">
        <v>209</v>
      </c>
      <c r="E130" s="655">
        <v>180000</v>
      </c>
    </row>
    <row r="131" spans="1:5" ht="20.100000000000001" customHeight="1">
      <c r="A131" s="2">
        <v>3</v>
      </c>
      <c r="B131" s="12" t="s">
        <v>285</v>
      </c>
      <c r="C131" s="10" t="s">
        <v>631</v>
      </c>
      <c r="D131" s="13" t="s">
        <v>39</v>
      </c>
      <c r="E131" s="655">
        <v>126000</v>
      </c>
    </row>
    <row r="132" spans="1:5" ht="20.100000000000001" customHeight="1">
      <c r="A132" s="2">
        <v>4</v>
      </c>
      <c r="B132" s="9" t="s">
        <v>288</v>
      </c>
      <c r="C132" s="10" t="s">
        <v>290</v>
      </c>
      <c r="D132" s="13" t="s">
        <v>47</v>
      </c>
      <c r="E132" s="655">
        <v>90000</v>
      </c>
    </row>
    <row r="133" spans="1:5" ht="20.100000000000001" customHeight="1">
      <c r="A133" s="2">
        <v>5</v>
      </c>
      <c r="B133" s="9" t="s">
        <v>289</v>
      </c>
      <c r="C133" s="10" t="s">
        <v>632</v>
      </c>
      <c r="D133" s="13" t="s">
        <v>53</v>
      </c>
      <c r="E133" s="655">
        <v>90000</v>
      </c>
    </row>
    <row r="134" spans="1:5" ht="20.100000000000001" customHeight="1">
      <c r="A134" s="2">
        <v>6</v>
      </c>
      <c r="B134" s="9" t="s">
        <v>291</v>
      </c>
      <c r="C134" s="10" t="s">
        <v>290</v>
      </c>
      <c r="D134" s="13" t="s">
        <v>214</v>
      </c>
      <c r="E134" s="655">
        <v>90000</v>
      </c>
    </row>
    <row r="135" spans="1:5" ht="20.100000000000001" customHeight="1">
      <c r="A135" s="2">
        <v>7</v>
      </c>
      <c r="B135" s="9" t="s">
        <v>294</v>
      </c>
      <c r="C135" s="10" t="s">
        <v>633</v>
      </c>
      <c r="D135" s="8" t="s">
        <v>86</v>
      </c>
      <c r="E135" s="655">
        <v>54000</v>
      </c>
    </row>
    <row r="136" spans="1:5" ht="20.100000000000001" customHeight="1">
      <c r="A136" s="2">
        <v>8</v>
      </c>
      <c r="B136" s="16" t="s">
        <v>296</v>
      </c>
      <c r="C136" s="10" t="s">
        <v>297</v>
      </c>
      <c r="D136" s="13" t="s">
        <v>111</v>
      </c>
      <c r="E136" s="655">
        <v>54000</v>
      </c>
    </row>
    <row r="137" spans="1:5" ht="20.100000000000001" customHeight="1">
      <c r="A137" s="2">
        <v>9</v>
      </c>
      <c r="B137" s="16" t="s">
        <v>298</v>
      </c>
      <c r="C137" s="10" t="s">
        <v>293</v>
      </c>
      <c r="D137" s="13" t="s">
        <v>111</v>
      </c>
      <c r="E137" s="655">
        <v>54000</v>
      </c>
    </row>
    <row r="138" spans="1:5" ht="20.100000000000001" customHeight="1">
      <c r="A138" s="2">
        <v>10</v>
      </c>
      <c r="B138" s="16" t="s">
        <v>299</v>
      </c>
      <c r="C138" s="10" t="s">
        <v>297</v>
      </c>
      <c r="D138" s="13" t="s">
        <v>277</v>
      </c>
      <c r="E138" s="655">
        <v>54000</v>
      </c>
    </row>
    <row r="139" spans="1:5" ht="28.5" customHeight="1">
      <c r="A139" s="2"/>
      <c r="B139" s="18" t="s">
        <v>120</v>
      </c>
      <c r="C139" s="24" t="s">
        <v>634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301</v>
      </c>
      <c r="C141" s="10"/>
      <c r="D141" s="13"/>
      <c r="E141" s="655"/>
    </row>
    <row r="142" spans="1:5" ht="20.100000000000001" customHeight="1">
      <c r="A142" s="25">
        <v>1</v>
      </c>
      <c r="B142" s="9" t="s">
        <v>914</v>
      </c>
      <c r="C142" s="10" t="s">
        <v>915</v>
      </c>
      <c r="D142" s="13" t="s">
        <v>124</v>
      </c>
      <c r="E142" s="655">
        <v>270000</v>
      </c>
    </row>
    <row r="143" spans="1:5" ht="20.100000000000001" customHeight="1">
      <c r="A143" s="25">
        <v>2</v>
      </c>
      <c r="B143" s="12" t="s">
        <v>305</v>
      </c>
      <c r="C143" s="2" t="s">
        <v>306</v>
      </c>
      <c r="D143" s="14" t="s">
        <v>36</v>
      </c>
      <c r="E143" s="655">
        <v>180000</v>
      </c>
    </row>
    <row r="144" spans="1:5" ht="20.100000000000001" customHeight="1">
      <c r="A144" s="25">
        <v>3</v>
      </c>
      <c r="B144" s="9" t="s">
        <v>307</v>
      </c>
      <c r="C144" s="10" t="s">
        <v>308</v>
      </c>
      <c r="D144" s="13" t="s">
        <v>42</v>
      </c>
      <c r="E144" s="655">
        <v>126000</v>
      </c>
    </row>
    <row r="145" spans="1:5" ht="20.100000000000001" customHeight="1">
      <c r="A145" s="25">
        <v>4</v>
      </c>
      <c r="B145" s="9" t="s">
        <v>309</v>
      </c>
      <c r="C145" s="2" t="s">
        <v>310</v>
      </c>
      <c r="D145" s="13" t="s">
        <v>42</v>
      </c>
      <c r="E145" s="655">
        <v>126000</v>
      </c>
    </row>
    <row r="146" spans="1:5" ht="20.100000000000001" customHeight="1">
      <c r="A146" s="25">
        <v>5</v>
      </c>
      <c r="B146" s="9" t="s">
        <v>311</v>
      </c>
      <c r="C146" s="2" t="s">
        <v>310</v>
      </c>
      <c r="D146" s="13" t="s">
        <v>42</v>
      </c>
      <c r="E146" s="655">
        <v>126000</v>
      </c>
    </row>
    <row r="147" spans="1:5" ht="20.100000000000001" customHeight="1">
      <c r="A147" s="25">
        <v>6</v>
      </c>
      <c r="B147" s="9" t="s">
        <v>231</v>
      </c>
      <c r="C147" s="10" t="s">
        <v>232</v>
      </c>
      <c r="D147" s="13" t="s">
        <v>67</v>
      </c>
      <c r="E147" s="655">
        <v>90000</v>
      </c>
    </row>
    <row r="148" spans="1:5" ht="20.100000000000001" customHeight="1">
      <c r="A148" s="25">
        <v>7</v>
      </c>
      <c r="B148" s="9" t="s">
        <v>314</v>
      </c>
      <c r="C148" s="10" t="s">
        <v>232</v>
      </c>
      <c r="D148" s="13" t="s">
        <v>67</v>
      </c>
      <c r="E148" s="655">
        <v>90000</v>
      </c>
    </row>
    <row r="149" spans="1:5" ht="20.100000000000001" customHeight="1">
      <c r="A149" s="25">
        <v>8</v>
      </c>
      <c r="B149" s="9" t="s">
        <v>315</v>
      </c>
      <c r="C149" s="2" t="s">
        <v>635</v>
      </c>
      <c r="D149" s="13" t="s">
        <v>67</v>
      </c>
      <c r="E149" s="655">
        <v>90000</v>
      </c>
    </row>
    <row r="150" spans="1:5" ht="20.100000000000001" customHeight="1">
      <c r="A150" s="25">
        <v>9</v>
      </c>
      <c r="B150" s="9" t="s">
        <v>317</v>
      </c>
      <c r="C150" s="10" t="s">
        <v>636</v>
      </c>
      <c r="D150" s="13" t="s">
        <v>70</v>
      </c>
      <c r="E150" s="655">
        <v>68000</v>
      </c>
    </row>
    <row r="151" spans="1:5" ht="20.100000000000001" customHeight="1">
      <c r="A151" s="25">
        <v>10</v>
      </c>
      <c r="B151" s="9" t="s">
        <v>319</v>
      </c>
      <c r="C151" s="10" t="s">
        <v>320</v>
      </c>
      <c r="D151" s="13" t="s">
        <v>131</v>
      </c>
      <c r="E151" s="655">
        <v>68000</v>
      </c>
    </row>
    <row r="152" spans="1:5" ht="20.100000000000001" customHeight="1">
      <c r="A152" s="25">
        <v>11</v>
      </c>
      <c r="B152" s="9" t="s">
        <v>62</v>
      </c>
      <c r="C152" s="10" t="s">
        <v>921</v>
      </c>
      <c r="D152" s="13" t="s">
        <v>172</v>
      </c>
      <c r="E152" s="655">
        <v>68000</v>
      </c>
    </row>
    <row r="153" spans="1:5" ht="20.100000000000001" customHeight="1">
      <c r="A153" s="25">
        <v>12</v>
      </c>
      <c r="B153" s="16" t="s">
        <v>321</v>
      </c>
      <c r="C153" s="2" t="s">
        <v>322</v>
      </c>
      <c r="D153" s="13" t="s">
        <v>179</v>
      </c>
      <c r="E153" s="655">
        <v>68000</v>
      </c>
    </row>
    <row r="154" spans="1:5" ht="20.100000000000001" customHeight="1">
      <c r="A154" s="25">
        <v>13</v>
      </c>
      <c r="B154" s="9" t="s">
        <v>323</v>
      </c>
      <c r="C154" s="2" t="s">
        <v>322</v>
      </c>
      <c r="D154" s="13" t="s">
        <v>179</v>
      </c>
      <c r="E154" s="655">
        <v>68000</v>
      </c>
    </row>
    <row r="155" spans="1:5" ht="20.100000000000001" customHeight="1">
      <c r="A155" s="25">
        <v>14</v>
      </c>
      <c r="B155" s="9" t="s">
        <v>324</v>
      </c>
      <c r="C155" s="2" t="s">
        <v>322</v>
      </c>
      <c r="D155" s="13" t="s">
        <v>179</v>
      </c>
      <c r="E155" s="655">
        <v>68000</v>
      </c>
    </row>
    <row r="156" spans="1:5" ht="20.100000000000001" customHeight="1">
      <c r="A156" s="25">
        <v>15</v>
      </c>
      <c r="B156" s="9" t="s">
        <v>326</v>
      </c>
      <c r="C156" s="2" t="s">
        <v>322</v>
      </c>
      <c r="D156" s="13" t="s">
        <v>179</v>
      </c>
      <c r="E156" s="655">
        <v>68000</v>
      </c>
    </row>
    <row r="157" spans="1:5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55">
        <v>68000</v>
      </c>
    </row>
    <row r="158" spans="1:5" ht="20.100000000000001" customHeight="1">
      <c r="A158" s="25">
        <v>17</v>
      </c>
      <c r="B158" s="9" t="s">
        <v>329</v>
      </c>
      <c r="C158" s="10" t="s">
        <v>330</v>
      </c>
      <c r="D158" s="8" t="s">
        <v>99</v>
      </c>
      <c r="E158" s="655">
        <v>54000</v>
      </c>
    </row>
    <row r="159" spans="1:5" ht="20.100000000000001" customHeight="1">
      <c r="A159" s="25">
        <v>18</v>
      </c>
      <c r="B159" s="9" t="s">
        <v>331</v>
      </c>
      <c r="C159" s="10" t="s">
        <v>637</v>
      </c>
      <c r="D159" s="13" t="s">
        <v>78</v>
      </c>
      <c r="E159" s="665">
        <v>68000</v>
      </c>
    </row>
    <row r="160" spans="1:5" ht="20.100000000000001" customHeight="1">
      <c r="A160" s="25">
        <v>19</v>
      </c>
      <c r="B160" s="9" t="s">
        <v>333</v>
      </c>
      <c r="C160" s="10" t="s">
        <v>638</v>
      </c>
      <c r="D160" s="13" t="s">
        <v>86</v>
      </c>
      <c r="E160" s="665">
        <v>54000</v>
      </c>
    </row>
    <row r="161" spans="1:5" ht="20.100000000000001" customHeight="1">
      <c r="A161" s="25">
        <v>20</v>
      </c>
      <c r="B161" s="9" t="s">
        <v>335</v>
      </c>
      <c r="C161" s="10" t="s">
        <v>639</v>
      </c>
      <c r="D161" s="13" t="s">
        <v>78</v>
      </c>
      <c r="E161" s="665">
        <v>68000</v>
      </c>
    </row>
    <row r="162" spans="1:5" ht="20.100000000000001" customHeight="1">
      <c r="A162" s="25">
        <v>21</v>
      </c>
      <c r="B162" s="9" t="s">
        <v>336</v>
      </c>
      <c r="C162" s="10" t="s">
        <v>640</v>
      </c>
      <c r="D162" s="13" t="s">
        <v>86</v>
      </c>
      <c r="E162" s="665">
        <v>54000</v>
      </c>
    </row>
    <row r="163" spans="1:5" ht="20.100000000000001" customHeight="1">
      <c r="A163" s="25">
        <v>22</v>
      </c>
      <c r="B163" s="16" t="s">
        <v>338</v>
      </c>
      <c r="C163" s="10" t="s">
        <v>339</v>
      </c>
      <c r="D163" s="13" t="s">
        <v>225</v>
      </c>
      <c r="E163" s="665">
        <v>54000</v>
      </c>
    </row>
    <row r="164" spans="1:5" ht="20.100000000000001" customHeight="1">
      <c r="A164" s="25">
        <v>23</v>
      </c>
      <c r="B164" s="16" t="s">
        <v>340</v>
      </c>
      <c r="C164" s="10" t="s">
        <v>339</v>
      </c>
      <c r="D164" s="13" t="s">
        <v>225</v>
      </c>
      <c r="E164" s="665">
        <v>54000</v>
      </c>
    </row>
    <row r="165" spans="1:5" ht="20.100000000000001" customHeight="1">
      <c r="A165" s="25">
        <v>24</v>
      </c>
      <c r="B165" s="16" t="s">
        <v>345</v>
      </c>
      <c r="C165" s="10" t="s">
        <v>346</v>
      </c>
      <c r="D165" s="13" t="s">
        <v>111</v>
      </c>
      <c r="E165" s="665">
        <v>54000</v>
      </c>
    </row>
    <row r="166" spans="1:5" ht="20.100000000000001" customHeight="1">
      <c r="A166" s="25">
        <v>25</v>
      </c>
      <c r="B166" s="16" t="s">
        <v>347</v>
      </c>
      <c r="C166" s="10" t="s">
        <v>348</v>
      </c>
      <c r="D166" s="13" t="s">
        <v>111</v>
      </c>
      <c r="E166" s="665">
        <v>54000</v>
      </c>
    </row>
    <row r="167" spans="1:5" ht="20.100000000000001" customHeight="1">
      <c r="A167" s="25">
        <v>26</v>
      </c>
      <c r="B167" s="16" t="s">
        <v>349</v>
      </c>
      <c r="C167" s="10" t="s">
        <v>350</v>
      </c>
      <c r="D167" s="13" t="s">
        <v>111</v>
      </c>
      <c r="E167" s="665">
        <v>54000</v>
      </c>
    </row>
    <row r="168" spans="1:5" ht="20.100000000000001" customHeight="1">
      <c r="A168" s="25">
        <v>27</v>
      </c>
      <c r="B168" s="16" t="s">
        <v>351</v>
      </c>
      <c r="C168" s="10" t="s">
        <v>641</v>
      </c>
      <c r="D168" s="13" t="s">
        <v>108</v>
      </c>
      <c r="E168" s="665">
        <v>54000</v>
      </c>
    </row>
    <row r="169" spans="1:5" ht="20.100000000000001" customHeight="1">
      <c r="A169" s="25">
        <v>28</v>
      </c>
      <c r="B169" s="16" t="s">
        <v>352</v>
      </c>
      <c r="C169" s="10" t="s">
        <v>348</v>
      </c>
      <c r="D169" s="13" t="s">
        <v>111</v>
      </c>
      <c r="E169" s="665">
        <v>54000</v>
      </c>
    </row>
    <row r="170" spans="1:5" ht="20.100000000000001" customHeight="1">
      <c r="A170" s="25">
        <v>29</v>
      </c>
      <c r="B170" s="16" t="s">
        <v>353</v>
      </c>
      <c r="C170" s="10" t="s">
        <v>354</v>
      </c>
      <c r="D170" s="13" t="s">
        <v>277</v>
      </c>
      <c r="E170" s="665">
        <v>54000</v>
      </c>
    </row>
    <row r="171" spans="1:5" ht="20.100000000000001" customHeight="1">
      <c r="A171" s="25">
        <v>30</v>
      </c>
      <c r="B171" s="16" t="s">
        <v>355</v>
      </c>
      <c r="C171" s="10" t="s">
        <v>354</v>
      </c>
      <c r="D171" s="13" t="s">
        <v>277</v>
      </c>
      <c r="E171" s="665">
        <v>54000</v>
      </c>
    </row>
    <row r="172" spans="1:5" ht="20.100000000000001" customHeight="1">
      <c r="A172" s="25">
        <v>31</v>
      </c>
      <c r="B172" s="9" t="s">
        <v>361</v>
      </c>
      <c r="C172" s="10" t="s">
        <v>556</v>
      </c>
      <c r="D172" s="13" t="s">
        <v>386</v>
      </c>
      <c r="E172" s="665">
        <v>36000</v>
      </c>
    </row>
    <row r="173" spans="1:5" ht="20.100000000000001" customHeight="1">
      <c r="A173" s="25">
        <v>32</v>
      </c>
      <c r="B173" s="9" t="s">
        <v>364</v>
      </c>
      <c r="C173" s="10" t="s">
        <v>556</v>
      </c>
      <c r="D173" s="13" t="s">
        <v>386</v>
      </c>
      <c r="E173" s="665">
        <v>36000</v>
      </c>
    </row>
    <row r="174" spans="1:5" ht="20.100000000000001" customHeight="1">
      <c r="A174" s="25">
        <v>33</v>
      </c>
      <c r="B174" s="9" t="s">
        <v>642</v>
      </c>
      <c r="C174" s="10" t="s">
        <v>556</v>
      </c>
      <c r="D174" s="13" t="s">
        <v>386</v>
      </c>
      <c r="E174" s="665">
        <v>36000</v>
      </c>
    </row>
    <row r="175" spans="1:5" ht="20.100000000000001" customHeight="1">
      <c r="A175" s="25">
        <v>34</v>
      </c>
      <c r="B175" s="9" t="s">
        <v>365</v>
      </c>
      <c r="C175" s="10" t="s">
        <v>556</v>
      </c>
      <c r="D175" s="13" t="s">
        <v>386</v>
      </c>
      <c r="E175" s="665">
        <v>36000</v>
      </c>
    </row>
    <row r="176" spans="1:5" ht="20.100000000000001" customHeight="1">
      <c r="A176" s="25">
        <v>35</v>
      </c>
      <c r="B176" s="9" t="s">
        <v>366</v>
      </c>
      <c r="C176" s="10" t="s">
        <v>556</v>
      </c>
      <c r="D176" s="13" t="s">
        <v>386</v>
      </c>
      <c r="E176" s="665">
        <v>36000</v>
      </c>
    </row>
    <row r="177" spans="1:5" ht="20.100000000000001" customHeight="1">
      <c r="A177" s="25">
        <v>36</v>
      </c>
      <c r="B177" s="9" t="s">
        <v>367</v>
      </c>
      <c r="C177" s="10" t="s">
        <v>556</v>
      </c>
      <c r="D177" s="13" t="s">
        <v>379</v>
      </c>
      <c r="E177" s="665">
        <v>36000</v>
      </c>
    </row>
    <row r="178" spans="1:5" ht="20.100000000000001" customHeight="1">
      <c r="A178" s="25">
        <v>37</v>
      </c>
      <c r="B178" s="9" t="s">
        <v>369</v>
      </c>
      <c r="C178" s="10" t="s">
        <v>556</v>
      </c>
      <c r="D178" s="13" t="s">
        <v>379</v>
      </c>
      <c r="E178" s="665">
        <v>36000</v>
      </c>
    </row>
    <row r="179" spans="1:5" ht="20.100000000000001" customHeight="1">
      <c r="A179" s="25">
        <v>38</v>
      </c>
      <c r="B179" s="12" t="s">
        <v>370</v>
      </c>
      <c r="C179" s="10" t="s">
        <v>556</v>
      </c>
      <c r="D179" s="13" t="s">
        <v>379</v>
      </c>
      <c r="E179" s="665">
        <v>36000</v>
      </c>
    </row>
    <row r="180" spans="1:5" ht="20.100000000000001" customHeight="1">
      <c r="A180" s="25">
        <v>39</v>
      </c>
      <c r="B180" s="9" t="s">
        <v>371</v>
      </c>
      <c r="C180" s="10" t="s">
        <v>556</v>
      </c>
      <c r="D180" s="13" t="s">
        <v>379</v>
      </c>
      <c r="E180" s="665">
        <v>36000</v>
      </c>
    </row>
    <row r="181" spans="1:5" ht="20.100000000000001" customHeight="1">
      <c r="A181" s="25">
        <v>40</v>
      </c>
      <c r="B181" s="16" t="s">
        <v>372</v>
      </c>
      <c r="C181" s="10" t="s">
        <v>556</v>
      </c>
      <c r="D181" s="13" t="s">
        <v>379</v>
      </c>
      <c r="E181" s="665">
        <v>36000</v>
      </c>
    </row>
    <row r="182" spans="1:5" ht="20.100000000000001" customHeight="1">
      <c r="A182" s="25">
        <v>41</v>
      </c>
      <c r="B182" s="16" t="s">
        <v>359</v>
      </c>
      <c r="C182" s="10" t="s">
        <v>556</v>
      </c>
      <c r="D182" s="13" t="s">
        <v>379</v>
      </c>
      <c r="E182" s="665">
        <v>36000</v>
      </c>
    </row>
    <row r="183" spans="1:5" ht="20.100000000000001" customHeight="1">
      <c r="A183" s="25">
        <v>42</v>
      </c>
      <c r="B183" s="9" t="s">
        <v>373</v>
      </c>
      <c r="C183" s="10" t="s">
        <v>362</v>
      </c>
      <c r="D183" s="13" t="s">
        <v>583</v>
      </c>
      <c r="E183" s="665">
        <v>36000</v>
      </c>
    </row>
    <row r="184" spans="1:5" ht="20.100000000000001" customHeight="1">
      <c r="A184" s="25">
        <v>43</v>
      </c>
      <c r="B184" s="9" t="s">
        <v>375</v>
      </c>
      <c r="C184" s="10" t="s">
        <v>362</v>
      </c>
      <c r="D184" s="13" t="s">
        <v>583</v>
      </c>
      <c r="E184" s="665">
        <v>36000</v>
      </c>
    </row>
    <row r="185" spans="1:5" ht="20.100000000000001" customHeight="1">
      <c r="A185" s="25">
        <v>44</v>
      </c>
      <c r="B185" s="16" t="s">
        <v>376</v>
      </c>
      <c r="C185" s="10" t="s">
        <v>362</v>
      </c>
      <c r="D185" s="13" t="s">
        <v>582</v>
      </c>
      <c r="E185" s="665">
        <v>36000</v>
      </c>
    </row>
    <row r="186" spans="1:5" ht="20.100000000000001" customHeight="1">
      <c r="A186" s="25">
        <v>45</v>
      </c>
      <c r="B186" s="9" t="s">
        <v>378</v>
      </c>
      <c r="C186" s="10" t="s">
        <v>362</v>
      </c>
      <c r="D186" s="13" t="s">
        <v>583</v>
      </c>
      <c r="E186" s="665">
        <v>36000</v>
      </c>
    </row>
    <row r="187" spans="1:5" ht="20.100000000000001" customHeight="1">
      <c r="A187" s="25">
        <v>46</v>
      </c>
      <c r="B187" s="9" t="s">
        <v>380</v>
      </c>
      <c r="C187" s="10" t="s">
        <v>558</v>
      </c>
      <c r="D187" s="13" t="s">
        <v>645</v>
      </c>
      <c r="E187" s="665">
        <v>36000</v>
      </c>
    </row>
    <row r="188" spans="1:5" ht="20.100000000000001" customHeight="1">
      <c r="A188" s="25">
        <v>47</v>
      </c>
      <c r="B188" s="9" t="s">
        <v>381</v>
      </c>
      <c r="C188" s="10" t="s">
        <v>558</v>
      </c>
      <c r="D188" s="13" t="s">
        <v>645</v>
      </c>
      <c r="E188" s="665">
        <v>36000</v>
      </c>
    </row>
    <row r="189" spans="1:5" ht="20.100000000000001" customHeight="1">
      <c r="A189" s="25">
        <v>48</v>
      </c>
      <c r="B189" s="9" t="s">
        <v>382</v>
      </c>
      <c r="C189" s="10" t="s">
        <v>558</v>
      </c>
      <c r="D189" s="13" t="s">
        <v>645</v>
      </c>
      <c r="E189" s="665">
        <v>36000</v>
      </c>
    </row>
    <row r="190" spans="1:5" ht="20.100000000000001" customHeight="1">
      <c r="A190" s="25">
        <v>49</v>
      </c>
      <c r="B190" s="9" t="s">
        <v>383</v>
      </c>
      <c r="C190" s="10" t="s">
        <v>558</v>
      </c>
      <c r="D190" s="13" t="s">
        <v>645</v>
      </c>
      <c r="E190" s="665">
        <v>36000</v>
      </c>
    </row>
    <row r="191" spans="1:5" ht="20.100000000000001" customHeight="1">
      <c r="A191" s="25">
        <v>50</v>
      </c>
      <c r="B191" s="9" t="s">
        <v>384</v>
      </c>
      <c r="C191" s="10" t="s">
        <v>558</v>
      </c>
      <c r="D191" s="13" t="s">
        <v>645</v>
      </c>
      <c r="E191" s="665">
        <v>36000</v>
      </c>
    </row>
    <row r="192" spans="1:5" ht="20.100000000000001" customHeight="1">
      <c r="A192" s="25">
        <v>51</v>
      </c>
      <c r="B192" s="16" t="s">
        <v>385</v>
      </c>
      <c r="C192" s="10" t="s">
        <v>558</v>
      </c>
      <c r="D192" s="13" t="s">
        <v>645</v>
      </c>
      <c r="E192" s="665">
        <v>36000</v>
      </c>
    </row>
    <row r="193" spans="1:5" ht="20.100000000000001" customHeight="1">
      <c r="A193" s="25">
        <v>52</v>
      </c>
      <c r="B193" s="16" t="s">
        <v>387</v>
      </c>
      <c r="C193" s="10" t="s">
        <v>558</v>
      </c>
      <c r="D193" s="13" t="s">
        <v>645</v>
      </c>
      <c r="E193" s="665">
        <v>36000</v>
      </c>
    </row>
    <row r="194" spans="1:5" ht="20.100000000000001" customHeight="1">
      <c r="A194" s="25">
        <v>53</v>
      </c>
      <c r="B194" s="9" t="s">
        <v>644</v>
      </c>
      <c r="C194" s="10" t="s">
        <v>389</v>
      </c>
      <c r="D194" s="13" t="s">
        <v>645</v>
      </c>
      <c r="E194" s="665">
        <v>36000</v>
      </c>
    </row>
    <row r="195" spans="1:5" ht="20.100000000000001" customHeight="1">
      <c r="A195" s="25">
        <v>54</v>
      </c>
      <c r="B195" s="9" t="s">
        <v>388</v>
      </c>
      <c r="C195" s="10" t="s">
        <v>389</v>
      </c>
      <c r="D195" s="13" t="s">
        <v>645</v>
      </c>
      <c r="E195" s="665">
        <v>36000</v>
      </c>
    </row>
    <row r="196" spans="1:5" ht="20.100000000000001" customHeight="1">
      <c r="A196" s="25">
        <v>55</v>
      </c>
      <c r="B196" s="16" t="s">
        <v>360</v>
      </c>
      <c r="C196" s="10" t="s">
        <v>392</v>
      </c>
      <c r="D196" s="13" t="s">
        <v>393</v>
      </c>
      <c r="E196" s="665">
        <v>36000</v>
      </c>
    </row>
    <row r="197" spans="1:5" ht="20.100000000000001" customHeight="1">
      <c r="A197" s="25">
        <v>56</v>
      </c>
      <c r="B197" s="16" t="s">
        <v>391</v>
      </c>
      <c r="C197" s="10" t="s">
        <v>392</v>
      </c>
      <c r="D197" s="13" t="s">
        <v>397</v>
      </c>
      <c r="E197" s="665">
        <v>36000</v>
      </c>
    </row>
    <row r="198" spans="1:5" ht="20.100000000000001" customHeight="1">
      <c r="A198" s="25">
        <v>57</v>
      </c>
      <c r="B198" s="16" t="s">
        <v>394</v>
      </c>
      <c r="C198" s="10" t="s">
        <v>362</v>
      </c>
      <c r="D198" s="13" t="s">
        <v>583</v>
      </c>
      <c r="E198" s="665">
        <v>36000</v>
      </c>
    </row>
    <row r="199" spans="1:5" ht="20.100000000000001" customHeight="1">
      <c r="A199" s="25">
        <v>58</v>
      </c>
      <c r="B199" s="16" t="s">
        <v>398</v>
      </c>
      <c r="C199" s="10" t="s">
        <v>399</v>
      </c>
      <c r="D199" s="13" t="s">
        <v>923</v>
      </c>
      <c r="E199" s="665">
        <v>36000</v>
      </c>
    </row>
    <row r="200" spans="1:5" ht="20.100000000000001" customHeight="1">
      <c r="A200" s="25">
        <v>59</v>
      </c>
      <c r="B200" s="16" t="s">
        <v>401</v>
      </c>
      <c r="C200" s="10" t="s">
        <v>399</v>
      </c>
      <c r="D200" s="13" t="s">
        <v>923</v>
      </c>
      <c r="E200" s="665">
        <v>36000</v>
      </c>
    </row>
    <row r="201" spans="1:5" ht="20.100000000000001" customHeight="1">
      <c r="A201" s="25">
        <v>60</v>
      </c>
      <c r="B201" s="16" t="s">
        <v>402</v>
      </c>
      <c r="C201" s="10" t="s">
        <v>399</v>
      </c>
      <c r="D201" s="13" t="s">
        <v>923</v>
      </c>
      <c r="E201" s="665">
        <v>36000</v>
      </c>
    </row>
    <row r="202" spans="1:5" ht="20.100000000000001" customHeight="1">
      <c r="A202" s="25">
        <v>61</v>
      </c>
      <c r="B202" s="16" t="s">
        <v>403</v>
      </c>
      <c r="C202" s="10" t="s">
        <v>404</v>
      </c>
      <c r="D202" s="13" t="s">
        <v>395</v>
      </c>
      <c r="E202" s="665">
        <v>36000</v>
      </c>
    </row>
    <row r="203" spans="1:5" ht="20.100000000000001" customHeight="1">
      <c r="A203" s="25">
        <v>62</v>
      </c>
      <c r="B203" s="16" t="s">
        <v>406</v>
      </c>
      <c r="C203" s="10" t="s">
        <v>404</v>
      </c>
      <c r="D203" s="13" t="s">
        <v>395</v>
      </c>
      <c r="E203" s="665">
        <v>36000</v>
      </c>
    </row>
    <row r="204" spans="1:5" ht="30.75" customHeight="1">
      <c r="A204" s="25"/>
      <c r="B204" s="6" t="s">
        <v>120</v>
      </c>
      <c r="C204" s="26" t="s">
        <v>1051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408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159" t="s">
        <v>1052</v>
      </c>
      <c r="B1" s="1159"/>
      <c r="C1" s="1159"/>
    </row>
    <row r="2" spans="1:3" ht="23.1" customHeight="1">
      <c r="A2" s="672">
        <v>1</v>
      </c>
      <c r="B2" s="672" t="s">
        <v>660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993</v>
      </c>
      <c r="C3" s="564">
        <f>'[11]Christmas 2024'!$E$58</f>
        <v>1470000</v>
      </c>
    </row>
    <row r="4" spans="1:3" ht="23.1" customHeight="1">
      <c r="A4" s="672">
        <v>3</v>
      </c>
      <c r="B4" s="672" t="s">
        <v>661</v>
      </c>
      <c r="C4" s="564">
        <f>'[12]WELFARE CONTRACT '!$E$21</f>
        <v>1692000</v>
      </c>
    </row>
    <row r="5" spans="1:3" ht="23.1" customHeight="1">
      <c r="A5" s="672">
        <v>4</v>
      </c>
      <c r="B5" s="672" t="s">
        <v>994</v>
      </c>
      <c r="C5" s="564">
        <f>'[12]NEW CONTR WELFARE'!$E$31</f>
        <v>1676000</v>
      </c>
    </row>
    <row r="6" spans="1:3" ht="23.1" customHeight="1">
      <c r="A6" s="672">
        <v>5</v>
      </c>
      <c r="B6" s="672" t="s">
        <v>662</v>
      </c>
      <c r="C6" s="564">
        <f>'[12]WELFARE CAS. SABB. NYSC'!$D$68</f>
        <v>2259000</v>
      </c>
    </row>
    <row r="7" spans="1:3" ht="23.1" customHeight="1">
      <c r="A7" s="672">
        <v>6</v>
      </c>
      <c r="B7" s="672" t="s">
        <v>663</v>
      </c>
      <c r="C7" s="564">
        <f>'[12]WELFARE CONSULTANCY'!$D$30</f>
        <v>1656000</v>
      </c>
    </row>
    <row r="8" spans="1:3" ht="23.1" customHeight="1">
      <c r="A8" s="672">
        <v>7</v>
      </c>
      <c r="B8" s="672" t="s">
        <v>664</v>
      </c>
      <c r="C8" s="564">
        <f>'[12]WELFARE - OTHERS'!$C$95</f>
        <v>1555000</v>
      </c>
    </row>
    <row r="9" spans="1:3" ht="23.1" customHeight="1">
      <c r="A9" s="672"/>
      <c r="B9" s="230" t="s">
        <v>665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1169" t="s">
        <v>1053</v>
      </c>
      <c r="B2" s="1169"/>
      <c r="C2" s="1169"/>
      <c r="D2" s="1169"/>
      <c r="E2" s="1169"/>
      <c r="F2" s="1169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1054</v>
      </c>
    </row>
    <row r="5" spans="1:6" ht="17.25" customHeight="1">
      <c r="C5" s="6"/>
      <c r="D5" s="6"/>
      <c r="E5" s="652" t="s">
        <v>21</v>
      </c>
      <c r="F5" s="653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302</v>
      </c>
      <c r="C11" s="2" t="s">
        <v>890</v>
      </c>
      <c r="D11" s="8" t="s">
        <v>29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34</v>
      </c>
      <c r="C12" s="10" t="s">
        <v>893</v>
      </c>
      <c r="D12" s="13" t="s">
        <v>39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37</v>
      </c>
      <c r="C13" s="2" t="s">
        <v>38</v>
      </c>
      <c r="D13" s="8" t="s">
        <v>42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40</v>
      </c>
      <c r="C14" s="2" t="s">
        <v>619</v>
      </c>
      <c r="D14" s="13" t="s">
        <v>191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43</v>
      </c>
      <c r="C15" s="15" t="s">
        <v>44</v>
      </c>
      <c r="D15" s="13" t="s">
        <v>42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45</v>
      </c>
      <c r="C16" s="2" t="s">
        <v>46</v>
      </c>
      <c r="D16" s="8" t="s">
        <v>53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48</v>
      </c>
      <c r="C17" s="2" t="s">
        <v>49</v>
      </c>
      <c r="D17" s="8" t="s">
        <v>42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51</v>
      </c>
      <c r="C18" s="10" t="s">
        <v>61</v>
      </c>
      <c r="D18" s="13" t="s">
        <v>575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54</v>
      </c>
      <c r="C19" s="2" t="s">
        <v>55</v>
      </c>
      <c r="D19" s="13" t="s">
        <v>59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57</v>
      </c>
      <c r="C20" s="2" t="s">
        <v>58</v>
      </c>
      <c r="D20" s="13" t="s">
        <v>984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60</v>
      </c>
      <c r="C21" s="2" t="s">
        <v>61</v>
      </c>
      <c r="D21" s="13" t="s">
        <v>984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65</v>
      </c>
      <c r="C22" s="10" t="s">
        <v>177</v>
      </c>
      <c r="D22" s="13" t="s">
        <v>70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68</v>
      </c>
      <c r="C23" s="15" t="s">
        <v>69</v>
      </c>
      <c r="D23" s="8" t="s">
        <v>179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71</v>
      </c>
      <c r="C24" s="15" t="s">
        <v>72</v>
      </c>
      <c r="D24" s="13" t="s">
        <v>179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73</v>
      </c>
      <c r="C25" s="15" t="s">
        <v>74</v>
      </c>
      <c r="D25" s="8" t="s">
        <v>81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76</v>
      </c>
      <c r="C26" s="15" t="s">
        <v>77</v>
      </c>
      <c r="D26" s="8" t="s">
        <v>81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483</v>
      </c>
      <c r="C27" s="2" t="s">
        <v>94</v>
      </c>
      <c r="D27" s="8" t="s">
        <v>86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79</v>
      </c>
      <c r="C28" s="10" t="s">
        <v>94</v>
      </c>
      <c r="D28" s="13" t="s">
        <v>86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82</v>
      </c>
      <c r="C29" s="15" t="s">
        <v>69</v>
      </c>
      <c r="D29" s="8" t="s">
        <v>86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84</v>
      </c>
      <c r="C30" s="10" t="s">
        <v>85</v>
      </c>
      <c r="D30" s="13" t="s">
        <v>99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87</v>
      </c>
      <c r="C31" s="2" t="s">
        <v>88</v>
      </c>
      <c r="D31" s="8" t="s">
        <v>225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89</v>
      </c>
      <c r="C32" s="2" t="s">
        <v>88</v>
      </c>
      <c r="D32" s="8" t="s">
        <v>225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91</v>
      </c>
      <c r="C33" s="15" t="s">
        <v>622</v>
      </c>
      <c r="D33" s="13" t="s">
        <v>86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93</v>
      </c>
      <c r="C34" s="2" t="s">
        <v>94</v>
      </c>
      <c r="D34" s="8" t="s">
        <v>225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95</v>
      </c>
      <c r="C35" s="2" t="s">
        <v>623</v>
      </c>
      <c r="D35" s="8" t="s">
        <v>225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103</v>
      </c>
      <c r="C36" s="10" t="s">
        <v>104</v>
      </c>
      <c r="D36" s="13" t="s">
        <v>111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106</v>
      </c>
      <c r="C37" s="10" t="s">
        <v>107</v>
      </c>
      <c r="D37" s="13" t="s">
        <v>277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120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121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122</v>
      </c>
      <c r="C41" s="2" t="s">
        <v>123</v>
      </c>
      <c r="D41" s="8" t="s">
        <v>124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127</v>
      </c>
      <c r="C42" s="2" t="s">
        <v>128</v>
      </c>
      <c r="D42" s="8" t="s">
        <v>81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129</v>
      </c>
      <c r="C43" s="2" t="s">
        <v>128</v>
      </c>
      <c r="D43" s="13" t="s">
        <v>75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133</v>
      </c>
      <c r="C44" s="2" t="s">
        <v>134</v>
      </c>
      <c r="D44" s="13" t="s">
        <v>225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137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895</v>
      </c>
      <c r="C48" s="2" t="s">
        <v>896</v>
      </c>
      <c r="D48" s="8" t="s">
        <v>124</v>
      </c>
      <c r="E48" s="655">
        <f>'JANUARY 2026'!J75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897</v>
      </c>
      <c r="C49" s="2" t="s">
        <v>44</v>
      </c>
      <c r="D49" s="8" t="s">
        <v>39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138</v>
      </c>
      <c r="C50" s="2" t="s">
        <v>624</v>
      </c>
      <c r="D50" s="8" t="s">
        <v>209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141</v>
      </c>
      <c r="C51" s="2" t="s">
        <v>142</v>
      </c>
      <c r="D51" s="8" t="s">
        <v>39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143</v>
      </c>
      <c r="C52" s="2" t="s">
        <v>142</v>
      </c>
      <c r="D52" s="8" t="s">
        <v>39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144</v>
      </c>
      <c r="C53" s="2" t="s">
        <v>142</v>
      </c>
      <c r="D53" s="8" t="s">
        <v>42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145</v>
      </c>
      <c r="C54" s="2" t="s">
        <v>142</v>
      </c>
      <c r="D54" s="8" t="s">
        <v>42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153</v>
      </c>
      <c r="C56" s="2" t="s">
        <v>150</v>
      </c>
      <c r="D56" s="8" t="s">
        <v>99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155</v>
      </c>
      <c r="C57" s="2" t="s">
        <v>150</v>
      </c>
      <c r="D57" s="8" t="s">
        <v>99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120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157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899</v>
      </c>
      <c r="C61" s="10" t="s">
        <v>159</v>
      </c>
      <c r="D61" s="13" t="s">
        <v>124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160</v>
      </c>
      <c r="C62" s="10" t="s">
        <v>161</v>
      </c>
      <c r="D62" s="13" t="s">
        <v>162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120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163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900</v>
      </c>
      <c r="C66" s="15" t="s">
        <v>901</v>
      </c>
      <c r="D66" s="8" t="s">
        <v>124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902</v>
      </c>
      <c r="C67" s="15" t="s">
        <v>903</v>
      </c>
      <c r="D67" s="13" t="s">
        <v>50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166</v>
      </c>
      <c r="C68" s="2" t="s">
        <v>52</v>
      </c>
      <c r="D68" s="8" t="s">
        <v>53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904</v>
      </c>
      <c r="C69" s="15" t="s">
        <v>217</v>
      </c>
      <c r="D69" s="13" t="s">
        <v>575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131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171</v>
      </c>
      <c r="C71" s="15" t="s">
        <v>72</v>
      </c>
      <c r="D71" s="8" t="s">
        <v>131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173</v>
      </c>
      <c r="C72" s="15" t="s">
        <v>72</v>
      </c>
      <c r="D72" s="8" t="s">
        <v>131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174</v>
      </c>
      <c r="C73" s="2" t="s">
        <v>625</v>
      </c>
      <c r="D73" s="8" t="s">
        <v>70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120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182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183</v>
      </c>
      <c r="C78" s="2" t="s">
        <v>184</v>
      </c>
      <c r="D78" s="8" t="s">
        <v>124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187</v>
      </c>
      <c r="C79" s="2" t="s">
        <v>188</v>
      </c>
      <c r="D79" s="8" t="s">
        <v>42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189</v>
      </c>
      <c r="C80" s="2" t="s">
        <v>190</v>
      </c>
      <c r="D80" s="13" t="s">
        <v>214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196</v>
      </c>
      <c r="C81" s="2" t="s">
        <v>197</v>
      </c>
      <c r="D81" s="8" t="s">
        <v>179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200</v>
      </c>
      <c r="C82" s="2" t="s">
        <v>181</v>
      </c>
      <c r="D82" s="8" t="s">
        <v>99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202</v>
      </c>
      <c r="C83" s="2" t="s">
        <v>203</v>
      </c>
      <c r="D83" s="8" t="s">
        <v>111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120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204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207</v>
      </c>
      <c r="C87" s="2" t="s">
        <v>142</v>
      </c>
      <c r="D87" s="8" t="s">
        <v>39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205</v>
      </c>
      <c r="C88" s="2" t="s">
        <v>142</v>
      </c>
      <c r="D88" s="8" t="s">
        <v>39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210</v>
      </c>
      <c r="C89" s="2" t="s">
        <v>142</v>
      </c>
      <c r="D89" s="8" t="s">
        <v>42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211</v>
      </c>
      <c r="C90" s="2" t="s">
        <v>52</v>
      </c>
      <c r="D90" s="13" t="s">
        <v>53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212</v>
      </c>
      <c r="C91" s="2" t="s">
        <v>52</v>
      </c>
      <c r="D91" s="13" t="s">
        <v>53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213</v>
      </c>
      <c r="C92" s="10" t="s">
        <v>52</v>
      </c>
      <c r="D92" s="13" t="s">
        <v>574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215</v>
      </c>
      <c r="C93" s="15" t="s">
        <v>72</v>
      </c>
      <c r="D93" s="13" t="s">
        <v>131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216</v>
      </c>
      <c r="C94" s="15" t="s">
        <v>217</v>
      </c>
      <c r="D94" s="13" t="s">
        <v>67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220</v>
      </c>
      <c r="C95" s="2" t="s">
        <v>221</v>
      </c>
      <c r="D95" s="8" t="s">
        <v>75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224</v>
      </c>
      <c r="C96" s="15" t="s">
        <v>554</v>
      </c>
      <c r="D96" s="13" t="s">
        <v>108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120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226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227</v>
      </c>
      <c r="C100" s="2" t="s">
        <v>626</v>
      </c>
      <c r="D100" s="14" t="s">
        <v>577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229</v>
      </c>
      <c r="C101" s="2" t="s">
        <v>230</v>
      </c>
      <c r="D101" s="13" t="s">
        <v>214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235</v>
      </c>
      <c r="C102" s="2" t="s">
        <v>627</v>
      </c>
      <c r="D102" s="13" t="s">
        <v>70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236</v>
      </c>
      <c r="C103" s="2" t="s">
        <v>199</v>
      </c>
      <c r="D103" s="13" t="s">
        <v>75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120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239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628</v>
      </c>
      <c r="C107" s="10" t="s">
        <v>241</v>
      </c>
      <c r="D107" s="13" t="s">
        <v>124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36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244</v>
      </c>
      <c r="C109" s="2" t="s">
        <v>629</v>
      </c>
      <c r="D109" s="8" t="s">
        <v>56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246</v>
      </c>
      <c r="C110" s="2" t="s">
        <v>629</v>
      </c>
      <c r="D110" s="8" t="s">
        <v>56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911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517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108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120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257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164</v>
      </c>
      <c r="C117" s="2" t="s">
        <v>142</v>
      </c>
      <c r="D117" s="8" t="s">
        <v>50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259</v>
      </c>
      <c r="C118" s="2" t="s">
        <v>260</v>
      </c>
      <c r="D118" s="13" t="s">
        <v>70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192</v>
      </c>
      <c r="C119" s="10" t="s">
        <v>193</v>
      </c>
      <c r="D119" s="13" t="s">
        <v>67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120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268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988</v>
      </c>
      <c r="C123" s="2" t="s">
        <v>989</v>
      </c>
      <c r="D123" s="8" t="s">
        <v>277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273</v>
      </c>
      <c r="C124" s="2" t="s">
        <v>274</v>
      </c>
      <c r="D124" s="8" t="s">
        <v>277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278</v>
      </c>
      <c r="C125" s="2" t="s">
        <v>279</v>
      </c>
      <c r="D125" s="8" t="s">
        <v>277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120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280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281</v>
      </c>
      <c r="C129" s="10" t="s">
        <v>282</v>
      </c>
      <c r="D129" s="13" t="s">
        <v>124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283</v>
      </c>
      <c r="C130" s="10" t="s">
        <v>630</v>
      </c>
      <c r="D130" s="13" t="s">
        <v>209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285</v>
      </c>
      <c r="C131" s="10" t="s">
        <v>631</v>
      </c>
      <c r="D131" s="13" t="s">
        <v>39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288</v>
      </c>
      <c r="C132" s="10" t="s">
        <v>290</v>
      </c>
      <c r="D132" s="13" t="s">
        <v>47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289</v>
      </c>
      <c r="C133" s="10" t="s">
        <v>632</v>
      </c>
      <c r="D133" s="13" t="s">
        <v>53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291</v>
      </c>
      <c r="C134" s="10" t="s">
        <v>290</v>
      </c>
      <c r="D134" s="13" t="s">
        <v>214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294</v>
      </c>
      <c r="C135" s="10" t="s">
        <v>633</v>
      </c>
      <c r="D135" s="8" t="s">
        <v>86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296</v>
      </c>
      <c r="C136" s="10" t="s">
        <v>297</v>
      </c>
      <c r="D136" s="13" t="s">
        <v>111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298</v>
      </c>
      <c r="C137" s="10" t="s">
        <v>293</v>
      </c>
      <c r="D137" s="13" t="s">
        <v>111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299</v>
      </c>
      <c r="C138" s="10" t="s">
        <v>297</v>
      </c>
      <c r="D138" s="13" t="s">
        <v>277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120</v>
      </c>
      <c r="C139" s="24" t="s">
        <v>634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301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914</v>
      </c>
      <c r="C142" s="10" t="s">
        <v>915</v>
      </c>
      <c r="D142" s="13" t="s">
        <v>124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305</v>
      </c>
      <c r="C143" s="2" t="s">
        <v>306</v>
      </c>
      <c r="D143" s="14" t="s">
        <v>36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307</v>
      </c>
      <c r="C144" s="10" t="s">
        <v>308</v>
      </c>
      <c r="D144" s="13" t="s">
        <v>42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309</v>
      </c>
      <c r="C145" s="2" t="s">
        <v>310</v>
      </c>
      <c r="D145" s="13" t="s">
        <v>42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311</v>
      </c>
      <c r="C146" s="2" t="s">
        <v>310</v>
      </c>
      <c r="D146" s="13" t="s">
        <v>42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231</v>
      </c>
      <c r="C147" s="10" t="s">
        <v>232</v>
      </c>
      <c r="D147" s="13" t="s">
        <v>67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314</v>
      </c>
      <c r="C148" s="10" t="s">
        <v>232</v>
      </c>
      <c r="D148" s="13" t="s">
        <v>67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315</v>
      </c>
      <c r="C149" s="2" t="s">
        <v>635</v>
      </c>
      <c r="D149" s="13" t="s">
        <v>67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317</v>
      </c>
      <c r="C150" s="10" t="s">
        <v>636</v>
      </c>
      <c r="D150" s="13" t="s">
        <v>70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319</v>
      </c>
      <c r="C151" s="10" t="s">
        <v>320</v>
      </c>
      <c r="D151" s="13" t="s">
        <v>131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62</v>
      </c>
      <c r="C152" s="10" t="s">
        <v>921</v>
      </c>
      <c r="D152" s="13" t="s">
        <v>172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321</v>
      </c>
      <c r="C153" s="2" t="s">
        <v>322</v>
      </c>
      <c r="D153" s="13" t="s">
        <v>179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323</v>
      </c>
      <c r="C154" s="2" t="s">
        <v>322</v>
      </c>
      <c r="D154" s="13" t="s">
        <v>179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324</v>
      </c>
      <c r="C155" s="2" t="s">
        <v>322</v>
      </c>
      <c r="D155" s="13" t="s">
        <v>179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326</v>
      </c>
      <c r="C156" s="2" t="s">
        <v>322</v>
      </c>
      <c r="D156" s="13" t="s">
        <v>179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329</v>
      </c>
      <c r="C158" s="10" t="s">
        <v>330</v>
      </c>
      <c r="D158" s="8" t="s">
        <v>99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331</v>
      </c>
      <c r="C159" s="10" t="s">
        <v>637</v>
      </c>
      <c r="D159" s="13" t="s">
        <v>78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333</v>
      </c>
      <c r="C160" s="10" t="s">
        <v>638</v>
      </c>
      <c r="D160" s="13" t="s">
        <v>86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335</v>
      </c>
      <c r="C161" s="10" t="s">
        <v>639</v>
      </c>
      <c r="D161" s="13" t="s">
        <v>78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336</v>
      </c>
      <c r="C162" s="10" t="s">
        <v>640</v>
      </c>
      <c r="D162" s="13" t="s">
        <v>86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338</v>
      </c>
      <c r="C163" s="10" t="s">
        <v>339</v>
      </c>
      <c r="D163" s="13" t="s">
        <v>225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340</v>
      </c>
      <c r="C164" s="10" t="s">
        <v>339</v>
      </c>
      <c r="D164" s="13" t="s">
        <v>225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345</v>
      </c>
      <c r="C165" s="10" t="s">
        <v>346</v>
      </c>
      <c r="D165" s="13" t="s">
        <v>111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347</v>
      </c>
      <c r="C166" s="10" t="s">
        <v>348</v>
      </c>
      <c r="D166" s="13" t="s">
        <v>111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349</v>
      </c>
      <c r="C167" s="10" t="s">
        <v>350</v>
      </c>
      <c r="D167" s="13" t="s">
        <v>111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351</v>
      </c>
      <c r="C168" s="10" t="s">
        <v>641</v>
      </c>
      <c r="D168" s="13" t="s">
        <v>108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352</v>
      </c>
      <c r="C169" s="10" t="s">
        <v>348</v>
      </c>
      <c r="D169" s="13" t="s">
        <v>111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353</v>
      </c>
      <c r="C170" s="10" t="s">
        <v>354</v>
      </c>
      <c r="D170" s="13" t="s">
        <v>277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355</v>
      </c>
      <c r="C171" s="10" t="s">
        <v>354</v>
      </c>
      <c r="D171" s="13" t="s">
        <v>277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361</v>
      </c>
      <c r="C172" s="10" t="s">
        <v>556</v>
      </c>
      <c r="D172" s="13" t="s">
        <v>386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364</v>
      </c>
      <c r="C173" s="10" t="s">
        <v>556</v>
      </c>
      <c r="D173" s="13" t="s">
        <v>386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642</v>
      </c>
      <c r="C174" s="10" t="s">
        <v>556</v>
      </c>
      <c r="D174" s="13" t="s">
        <v>386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365</v>
      </c>
      <c r="C175" s="10" t="s">
        <v>556</v>
      </c>
      <c r="D175" s="13" t="s">
        <v>386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366</v>
      </c>
      <c r="C176" s="10" t="s">
        <v>556</v>
      </c>
      <c r="D176" s="13" t="s">
        <v>386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367</v>
      </c>
      <c r="C177" s="10" t="s">
        <v>556</v>
      </c>
      <c r="D177" s="13" t="s">
        <v>379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369</v>
      </c>
      <c r="C178" s="10" t="s">
        <v>556</v>
      </c>
      <c r="D178" s="13" t="s">
        <v>379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370</v>
      </c>
      <c r="C179" s="10" t="s">
        <v>556</v>
      </c>
      <c r="D179" s="13" t="s">
        <v>379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371</v>
      </c>
      <c r="C180" s="10" t="s">
        <v>556</v>
      </c>
      <c r="D180" s="13" t="s">
        <v>379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372</v>
      </c>
      <c r="C181" s="10" t="s">
        <v>556</v>
      </c>
      <c r="D181" s="13" t="s">
        <v>379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359</v>
      </c>
      <c r="C182" s="10" t="s">
        <v>556</v>
      </c>
      <c r="D182" s="13" t="s">
        <v>379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373</v>
      </c>
      <c r="C183" s="10" t="s">
        <v>362</v>
      </c>
      <c r="D183" s="13" t="s">
        <v>583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375</v>
      </c>
      <c r="C184" s="10" t="s">
        <v>362</v>
      </c>
      <c r="D184" s="13" t="s">
        <v>583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376</v>
      </c>
      <c r="C185" s="10" t="s">
        <v>362</v>
      </c>
      <c r="D185" s="13" t="s">
        <v>582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378</v>
      </c>
      <c r="C186" s="10" t="s">
        <v>362</v>
      </c>
      <c r="D186" s="13" t="s">
        <v>583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380</v>
      </c>
      <c r="C187" s="10" t="s">
        <v>558</v>
      </c>
      <c r="D187" s="13" t="s">
        <v>645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381</v>
      </c>
      <c r="C188" s="10" t="s">
        <v>558</v>
      </c>
      <c r="D188" s="13" t="s">
        <v>645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382</v>
      </c>
      <c r="C189" s="10" t="s">
        <v>558</v>
      </c>
      <c r="D189" s="13" t="s">
        <v>645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383</v>
      </c>
      <c r="C190" s="10" t="s">
        <v>558</v>
      </c>
      <c r="D190" s="13" t="s">
        <v>645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384</v>
      </c>
      <c r="C191" s="10" t="s">
        <v>558</v>
      </c>
      <c r="D191" s="13" t="s">
        <v>645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385</v>
      </c>
      <c r="C192" s="10" t="s">
        <v>558</v>
      </c>
      <c r="D192" s="13" t="s">
        <v>645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387</v>
      </c>
      <c r="C193" s="10" t="s">
        <v>558</v>
      </c>
      <c r="D193" s="13" t="s">
        <v>645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644</v>
      </c>
      <c r="C194" s="10" t="s">
        <v>389</v>
      </c>
      <c r="D194" s="13" t="s">
        <v>645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388</v>
      </c>
      <c r="C195" s="10" t="s">
        <v>389</v>
      </c>
      <c r="D195" s="13" t="s">
        <v>645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360</v>
      </c>
      <c r="C196" s="10" t="s">
        <v>392</v>
      </c>
      <c r="D196" s="13" t="s">
        <v>393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391</v>
      </c>
      <c r="C197" s="10" t="s">
        <v>392</v>
      </c>
      <c r="D197" s="13" t="s">
        <v>397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394</v>
      </c>
      <c r="C198" s="10" t="s">
        <v>362</v>
      </c>
      <c r="D198" s="13" t="s">
        <v>583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398</v>
      </c>
      <c r="C199" s="10" t="s">
        <v>399</v>
      </c>
      <c r="D199" s="13" t="s">
        <v>923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401</v>
      </c>
      <c r="C200" s="10" t="s">
        <v>399</v>
      </c>
      <c r="D200" s="13" t="s">
        <v>923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402</v>
      </c>
      <c r="C201" s="10" t="s">
        <v>399</v>
      </c>
      <c r="D201" s="13" t="s">
        <v>923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403</v>
      </c>
      <c r="C202" s="10" t="s">
        <v>404</v>
      </c>
      <c r="D202" s="13" t="s">
        <v>395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406</v>
      </c>
      <c r="C203" s="10" t="s">
        <v>404</v>
      </c>
      <c r="D203" s="13" t="s">
        <v>395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120</v>
      </c>
      <c r="C204" s="26" t="s">
        <v>1051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408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1170" t="s">
        <v>1055</v>
      </c>
      <c r="B1" s="1170"/>
      <c r="C1" s="1170"/>
    </row>
    <row r="2" spans="1:4" ht="30" customHeight="1">
      <c r="A2" s="44">
        <v>1</v>
      </c>
      <c r="B2" s="44" t="s">
        <v>660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993</v>
      </c>
      <c r="C3" s="126">
        <f>'[11]NEW STAFF BONUS'!$F$57</f>
        <v>3962895.7466666698</v>
      </c>
      <c r="D3" s="44"/>
    </row>
    <row r="4" spans="1:4" ht="30" customHeight="1">
      <c r="A4" s="44">
        <v>3</v>
      </c>
      <c r="B4" s="44" t="s">
        <v>661</v>
      </c>
      <c r="C4" s="126">
        <f>'[12]BONUS CONTRACT'!$F$21</f>
        <v>4618070.6766666695</v>
      </c>
      <c r="D4" s="44"/>
    </row>
    <row r="5" spans="1:4" ht="30" customHeight="1">
      <c r="A5" s="44">
        <v>4</v>
      </c>
      <c r="B5" s="44" t="s">
        <v>994</v>
      </c>
      <c r="C5" s="126">
        <f>'[12]NEW CONTR BONUS'!$F$30</f>
        <v>4681559.7683333298</v>
      </c>
      <c r="D5" s="44"/>
    </row>
    <row r="6" spans="1:4" ht="30" customHeight="1">
      <c r="A6" s="44">
        <v>5</v>
      </c>
      <c r="B6" s="44" t="s">
        <v>662</v>
      </c>
      <c r="C6" s="126">
        <f>'[12]CAS. SABB. NYSC BONUS'!$E$67</f>
        <v>4877192.3733333303</v>
      </c>
      <c r="D6" s="44"/>
    </row>
    <row r="7" spans="1:4" ht="30" customHeight="1">
      <c r="A7" s="44">
        <v>6</v>
      </c>
      <c r="B7" s="44" t="s">
        <v>1056</v>
      </c>
      <c r="C7" s="648">
        <f>'[12]CONSULTANCY BONUS'!$E$28</f>
        <v>2750000</v>
      </c>
      <c r="D7" s="44"/>
    </row>
    <row r="8" spans="1:4" ht="30" customHeight="1">
      <c r="A8" s="44"/>
      <c r="B8" s="224" t="s">
        <v>665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27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30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32</v>
      </c>
      <c r="C9" s="422">
        <v>471186.58333333302</v>
      </c>
      <c r="D9" s="423">
        <v>12</v>
      </c>
      <c r="E9" s="424">
        <f t="shared" si="0"/>
        <v>5654239</v>
      </c>
      <c r="F9" s="424">
        <f>'[10]JANUARY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551186.58333333302</v>
      </c>
      <c r="D10" s="423">
        <v>12</v>
      </c>
      <c r="E10" s="424">
        <f t="shared" si="0"/>
        <v>6614239</v>
      </c>
      <c r="F10" s="424">
        <f>'[10]JANUARY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34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37</v>
      </c>
      <c r="C12" s="422">
        <v>471059.04166666698</v>
      </c>
      <c r="D12" s="423">
        <v>12</v>
      </c>
      <c r="E12" s="424">
        <f t="shared" si="0"/>
        <v>5652708.5</v>
      </c>
      <c r="F12" s="424">
        <f>'[10]JANUARY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40</v>
      </c>
      <c r="C13" s="422">
        <v>277186.875</v>
      </c>
      <c r="D13" s="423">
        <v>12</v>
      </c>
      <c r="E13" s="424">
        <f t="shared" si="0"/>
        <v>3326242.5</v>
      </c>
      <c r="F13" s="424">
        <f>'[10]JANUARY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43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45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48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51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54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57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60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65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68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71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73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76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483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82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84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87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93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95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103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106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122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127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129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133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137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895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897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138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141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4">
        <v>780675.58333333302</v>
      </c>
      <c r="D49" s="423">
        <v>12</v>
      </c>
      <c r="E49" s="424">
        <f t="shared" si="31"/>
        <v>9368107</v>
      </c>
      <c r="F49" s="424">
        <f>'[10]JANUARY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155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157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158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160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163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900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902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904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905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170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171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173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174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178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182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183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906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185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189</v>
      </c>
      <c r="C78" s="424">
        <v>596622.25</v>
      </c>
      <c r="D78" s="423">
        <v>12</v>
      </c>
      <c r="E78" s="424">
        <f t="shared" si="63"/>
        <v>7159467</v>
      </c>
      <c r="F78" s="424">
        <f>'[10]JANUARY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196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200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202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120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204</v>
      </c>
      <c r="C84" s="424"/>
      <c r="AB84" s="259" t="s">
        <v>995</v>
      </c>
      <c r="AC84" s="436"/>
      <c r="AD84" s="436"/>
      <c r="AE84" s="436"/>
    </row>
    <row r="85" spans="1:31" ht="18.75">
      <c r="A85" s="421">
        <v>68</v>
      </c>
      <c r="B85" s="9" t="s">
        <v>207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207</v>
      </c>
      <c r="AD85" s="436"/>
      <c r="AE85" s="436"/>
    </row>
    <row r="86" spans="1:31" ht="18.75">
      <c r="A86" s="421">
        <v>69</v>
      </c>
      <c r="B86" s="9" t="s">
        <v>205</v>
      </c>
      <c r="C86" s="424">
        <v>780675.58333333302</v>
      </c>
      <c r="D86" s="423">
        <v>12</v>
      </c>
      <c r="E86" s="424">
        <f t="shared" si="79"/>
        <v>9368107</v>
      </c>
      <c r="F86" s="424">
        <f>'[10]JANUARY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205</v>
      </c>
      <c r="AD86" s="436"/>
      <c r="AE86" s="436"/>
    </row>
    <row r="87" spans="1:31" ht="37.5">
      <c r="A87" s="421">
        <v>70</v>
      </c>
      <c r="B87" s="9" t="s">
        <v>210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210</v>
      </c>
      <c r="AD87" s="436"/>
      <c r="AE87" s="436"/>
    </row>
    <row r="88" spans="1:31" ht="18.75">
      <c r="A88" s="421">
        <v>71</v>
      </c>
      <c r="B88" s="9" t="s">
        <v>211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211</v>
      </c>
      <c r="AD88" s="436"/>
      <c r="AE88" s="436"/>
    </row>
    <row r="89" spans="1:31" ht="18.75">
      <c r="A89" s="421">
        <v>72</v>
      </c>
      <c r="B89" s="9" t="s">
        <v>212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212</v>
      </c>
      <c r="AD89" s="436"/>
      <c r="AE89" s="436"/>
    </row>
    <row r="90" spans="1:31" ht="37.5">
      <c r="A90" s="421">
        <v>73</v>
      </c>
      <c r="B90" s="9" t="s">
        <v>213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213</v>
      </c>
      <c r="AD90" s="436"/>
      <c r="AE90" s="436"/>
    </row>
    <row r="91" spans="1:31" ht="18.75">
      <c r="A91" s="421">
        <v>74</v>
      </c>
      <c r="B91" s="9" t="s">
        <v>215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215</v>
      </c>
      <c r="AD91" s="436"/>
      <c r="AE91" s="436"/>
    </row>
    <row r="92" spans="1:31" ht="24" customHeight="1">
      <c r="A92" s="421">
        <v>75</v>
      </c>
      <c r="B92" s="9" t="s">
        <v>216</v>
      </c>
      <c r="C92" s="424">
        <v>510248.91666666698</v>
      </c>
      <c r="D92" s="423">
        <v>12</v>
      </c>
      <c r="E92" s="424">
        <f t="shared" si="79"/>
        <v>6122987</v>
      </c>
      <c r="F92" s="424">
        <f>'[10]JANUARY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216</v>
      </c>
      <c r="AD92" s="436"/>
      <c r="AE92" s="436"/>
    </row>
    <row r="93" spans="1:31" ht="18.75">
      <c r="A93" s="421">
        <v>76</v>
      </c>
      <c r="B93" s="9" t="s">
        <v>220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220</v>
      </c>
      <c r="AD93" s="436"/>
      <c r="AE93" s="436"/>
    </row>
    <row r="94" spans="1:31" ht="18.75">
      <c r="A94" s="421"/>
      <c r="B94" s="9" t="s">
        <v>224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224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226</v>
      </c>
      <c r="C97" s="424"/>
      <c r="AC97" s="436"/>
      <c r="AD97" s="436"/>
      <c r="AE97" s="436"/>
    </row>
    <row r="98" spans="1:31" ht="37.5">
      <c r="A98" s="421">
        <v>79</v>
      </c>
      <c r="B98" s="12" t="s">
        <v>227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'[10]JANUARY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227</v>
      </c>
      <c r="AD98" s="436"/>
      <c r="AE98" s="436"/>
    </row>
    <row r="99" spans="1:31" ht="18.75">
      <c r="A99" s="421">
        <v>80</v>
      </c>
      <c r="B99" s="9" t="s">
        <v>229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229</v>
      </c>
      <c r="AD99" s="436"/>
      <c r="AE99" s="436"/>
    </row>
    <row r="100" spans="1:31" ht="37.5">
      <c r="A100" s="421">
        <v>81</v>
      </c>
      <c r="B100" s="9" t="s">
        <v>235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235</v>
      </c>
      <c r="AD100" s="436"/>
      <c r="AE100" s="436"/>
    </row>
    <row r="101" spans="1:31" ht="18.75">
      <c r="A101" s="421"/>
      <c r="B101" s="9" t="s">
        <v>236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236</v>
      </c>
      <c r="AD101" s="436"/>
      <c r="AE101" s="436"/>
    </row>
    <row r="102" spans="1:31" ht="18.75">
      <c r="A102" s="421"/>
      <c r="B102" s="18" t="s">
        <v>120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239</v>
      </c>
      <c r="C104" s="424"/>
      <c r="G104" s="259">
        <v>0</v>
      </c>
      <c r="AB104" s="259" t="s">
        <v>866</v>
      </c>
      <c r="AC104" s="436"/>
      <c r="AD104" s="436"/>
      <c r="AE104" s="436"/>
    </row>
    <row r="105" spans="1:31" ht="18.75">
      <c r="A105" s="421">
        <v>85</v>
      </c>
      <c r="B105" s="9" t="s">
        <v>628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628</v>
      </c>
      <c r="AD105" s="436"/>
      <c r="AE105" s="436"/>
    </row>
    <row r="106" spans="1:31" ht="18.75">
      <c r="A106" s="421">
        <v>86</v>
      </c>
      <c r="B106" s="9" t="s">
        <v>242</v>
      </c>
      <c r="C106" s="424">
        <v>942373.16666666698</v>
      </c>
      <c r="D106" s="423">
        <v>12</v>
      </c>
      <c r="E106" s="424">
        <f t="shared" si="111"/>
        <v>11308478</v>
      </c>
      <c r="F106" s="424">
        <f>'[10]JANUARY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244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'[10]JANUARY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244</v>
      </c>
      <c r="AD107" s="436"/>
      <c r="AE107" s="436"/>
    </row>
    <row r="108" spans="1:31" ht="18.75">
      <c r="A108" s="421">
        <v>88</v>
      </c>
      <c r="B108" s="9" t="s">
        <v>246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246</v>
      </c>
      <c r="AD108" s="436"/>
      <c r="AE108" s="436"/>
    </row>
    <row r="109" spans="1:31" ht="18.75">
      <c r="A109" s="421">
        <v>89</v>
      </c>
      <c r="B109" s="9" t="s">
        <v>249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249</v>
      </c>
      <c r="AD109" s="436"/>
      <c r="AE109" s="436"/>
    </row>
    <row r="110" spans="1:31" ht="37.5">
      <c r="A110" s="421"/>
      <c r="B110" s="16" t="s">
        <v>252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252</v>
      </c>
      <c r="AD110" s="436"/>
      <c r="AE110" s="436"/>
    </row>
    <row r="111" spans="1:31" ht="18.75">
      <c r="A111" s="421"/>
      <c r="B111" s="16" t="s">
        <v>253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253</v>
      </c>
      <c r="AD111" s="436"/>
      <c r="AE111" s="436"/>
    </row>
    <row r="112" spans="1:31" ht="18.75">
      <c r="A112" s="421"/>
      <c r="B112" s="18" t="s">
        <v>120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257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164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'[10]JANUARY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259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192</v>
      </c>
      <c r="C117" s="430">
        <v>450086.5</v>
      </c>
      <c r="D117" s="423">
        <v>12</v>
      </c>
      <c r="E117" s="424">
        <f t="shared" si="127"/>
        <v>5401038</v>
      </c>
      <c r="F117" s="424">
        <f>'[10]JANUARY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280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281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283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285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913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288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289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291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294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296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298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120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301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914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916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305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307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309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311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231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314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315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317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319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62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321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323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324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326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327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329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331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333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335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336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338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345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347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349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351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352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361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364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642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365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366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367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369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370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371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372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359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373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375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376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378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380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381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382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383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384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385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387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644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388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360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394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398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401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402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403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406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996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997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1057</v>
      </c>
      <c r="J4" s="636" t="s">
        <v>17</v>
      </c>
      <c r="K4" s="646" t="s">
        <v>18</v>
      </c>
      <c r="L4" s="647" t="s">
        <v>1058</v>
      </c>
    </row>
    <row r="5" spans="1:13" s="1" customFormat="1" ht="37.5" customHeight="1">
      <c r="A5" s="1">
        <v>1</v>
      </c>
      <c r="B5" s="313" t="s">
        <v>391</v>
      </c>
      <c r="C5" s="68" t="s">
        <v>392</v>
      </c>
      <c r="D5" s="13" t="s">
        <v>397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1059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93</v>
      </c>
      <c r="C7" s="68" t="s">
        <v>94</v>
      </c>
      <c r="D7" s="13" t="s">
        <v>1060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'JANUARY 2026'!R33</f>
        <v>27761.293333333299</v>
      </c>
      <c r="K7" s="467">
        <f>I7+J7</f>
        <v>64551.981433333298</v>
      </c>
      <c r="L7" s="466">
        <f t="shared" si="1"/>
        <v>251297.01856666699</v>
      </c>
    </row>
    <row r="8" spans="1:13" ht="28.5" customHeight="1">
      <c r="A8" s="1"/>
      <c r="B8" s="20" t="s">
        <v>120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291119.60114731197</v>
      </c>
    </row>
  </sheetData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1171" t="s">
        <v>1061</v>
      </c>
      <c r="B1" s="1171"/>
      <c r="C1" s="1171"/>
      <c r="D1" s="1171"/>
      <c r="E1" s="1171"/>
      <c r="F1" s="1171"/>
    </row>
    <row r="2" spans="1:6" ht="48.95" customHeight="1">
      <c r="A2" s="55" t="s">
        <v>22</v>
      </c>
      <c r="B2" s="40" t="s">
        <v>470</v>
      </c>
      <c r="C2" s="640" t="s">
        <v>4</v>
      </c>
      <c r="D2" s="225" t="s">
        <v>1062</v>
      </c>
      <c r="E2" s="225" t="s">
        <v>1063</v>
      </c>
      <c r="F2" s="225" t="s">
        <v>1064</v>
      </c>
    </row>
    <row r="3" spans="1:6" ht="30" customHeight="1">
      <c r="A3" s="45">
        <v>1</v>
      </c>
      <c r="B3" s="41" t="s">
        <v>1065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1066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1067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1068</v>
      </c>
      <c r="C6" s="1115" t="s">
        <v>943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1069</v>
      </c>
      <c r="C7" s="1115" t="s">
        <v>945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1070</v>
      </c>
      <c r="C8" s="1115" t="s">
        <v>945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1071</v>
      </c>
      <c r="C9" s="1115" t="s">
        <v>945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1072</v>
      </c>
      <c r="C10" s="1115" t="s">
        <v>945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120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22</v>
      </c>
      <c r="B14" s="40" t="s">
        <v>470</v>
      </c>
      <c r="C14" s="640" t="s">
        <v>4</v>
      </c>
      <c r="D14" s="225" t="s">
        <v>1062</v>
      </c>
      <c r="E14" s="225" t="s">
        <v>1063</v>
      </c>
      <c r="F14" s="225" t="s">
        <v>1064</v>
      </c>
    </row>
    <row r="15" spans="1:6" ht="37.5">
      <c r="B15" s="164" t="s">
        <v>1073</v>
      </c>
      <c r="C15" s="1115" t="s">
        <v>943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1074</v>
      </c>
      <c r="C16" s="1115" t="s">
        <v>949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120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22</v>
      </c>
      <c r="B1" s="75" t="s">
        <v>2</v>
      </c>
      <c r="C1" s="75" t="s">
        <v>3</v>
      </c>
      <c r="D1" s="625" t="s">
        <v>4</v>
      </c>
      <c r="E1" s="75" t="s">
        <v>814</v>
      </c>
      <c r="F1" s="625" t="s">
        <v>815</v>
      </c>
      <c r="G1" s="625" t="s">
        <v>816</v>
      </c>
      <c r="H1" s="625" t="s">
        <v>9</v>
      </c>
      <c r="I1" s="1172" t="s">
        <v>429</v>
      </c>
      <c r="J1" s="1172"/>
      <c r="K1" s="1172"/>
      <c r="L1" s="1172"/>
      <c r="M1" s="1172"/>
      <c r="N1" s="1173" t="s">
        <v>1075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1076</v>
      </c>
      <c r="J2" s="636" t="s">
        <v>1077</v>
      </c>
      <c r="K2" s="636" t="s">
        <v>821</v>
      </c>
      <c r="L2" s="636" t="s">
        <v>1078</v>
      </c>
      <c r="M2" s="636" t="s">
        <v>18</v>
      </c>
      <c r="N2" s="1173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21</v>
      </c>
      <c r="F4" s="628" t="s">
        <v>21</v>
      </c>
      <c r="G4" s="628" t="s">
        <v>21</v>
      </c>
      <c r="H4" s="629" t="s">
        <v>21</v>
      </c>
      <c r="I4" s="628" t="s">
        <v>21</v>
      </c>
      <c r="J4" s="628" t="s">
        <v>21</v>
      </c>
      <c r="K4" s="628" t="s">
        <v>21</v>
      </c>
      <c r="L4" s="628" t="s">
        <v>21</v>
      </c>
      <c r="M4" s="628" t="s">
        <v>21</v>
      </c>
      <c r="N4" s="629" t="s">
        <v>21</v>
      </c>
    </row>
    <row r="5" spans="1:14" ht="37.5">
      <c r="A5" s="2">
        <v>1</v>
      </c>
      <c r="B5" s="9" t="s">
        <v>1079</v>
      </c>
      <c r="C5" s="41" t="s">
        <v>1080</v>
      </c>
      <c r="D5" s="45" t="s">
        <v>277</v>
      </c>
      <c r="E5" s="630">
        <f>'[5]Annual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.75">
      <c r="A6" s="2">
        <v>2</v>
      </c>
      <c r="B6" s="9" t="s">
        <v>1081</v>
      </c>
      <c r="C6" s="41" t="s">
        <v>1082</v>
      </c>
      <c r="D6" s="45" t="s">
        <v>277</v>
      </c>
      <c r="E6" s="630">
        <f>'[5]Annual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1083</v>
      </c>
      <c r="C7" s="41" t="s">
        <v>1084</v>
      </c>
      <c r="D7" s="45" t="s">
        <v>277</v>
      </c>
      <c r="E7" s="630">
        <f>'[5]Annual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>
      <c r="A8" s="2">
        <v>5</v>
      </c>
      <c r="B8" s="9" t="s">
        <v>1085</v>
      </c>
      <c r="C8" s="9" t="s">
        <v>761</v>
      </c>
      <c r="D8" s="8" t="s">
        <v>42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120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22</v>
      </c>
      <c r="B1" s="75" t="s">
        <v>2</v>
      </c>
      <c r="C1" s="75" t="s">
        <v>3</v>
      </c>
      <c r="D1" s="625" t="s">
        <v>4</v>
      </c>
      <c r="E1" s="75" t="s">
        <v>814</v>
      </c>
      <c r="F1" s="625" t="s">
        <v>815</v>
      </c>
      <c r="G1" s="625" t="s">
        <v>816</v>
      </c>
      <c r="H1" s="625" t="s">
        <v>9</v>
      </c>
      <c r="I1" s="1172" t="s">
        <v>429</v>
      </c>
      <c r="J1" s="1172"/>
      <c r="K1" s="1172"/>
      <c r="L1" s="1172"/>
      <c r="M1" s="1172"/>
      <c r="N1" s="1173" t="s">
        <v>1075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1076</v>
      </c>
      <c r="J2" s="636" t="s">
        <v>1077</v>
      </c>
      <c r="K2" s="636" t="s">
        <v>821</v>
      </c>
      <c r="L2" s="636" t="s">
        <v>1078</v>
      </c>
      <c r="M2" s="636" t="s">
        <v>18</v>
      </c>
      <c r="N2" s="1173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21</v>
      </c>
      <c r="F4" s="628" t="s">
        <v>21</v>
      </c>
      <c r="G4" s="628" t="s">
        <v>21</v>
      </c>
      <c r="H4" s="629" t="s">
        <v>21</v>
      </c>
      <c r="I4" s="628" t="s">
        <v>21</v>
      </c>
      <c r="J4" s="628" t="s">
        <v>21</v>
      </c>
      <c r="K4" s="628" t="s">
        <v>21</v>
      </c>
      <c r="L4" s="628" t="s">
        <v>21</v>
      </c>
      <c r="M4" s="628" t="s">
        <v>21</v>
      </c>
      <c r="N4" s="629" t="s">
        <v>21</v>
      </c>
    </row>
    <row r="5" spans="1:14" ht="37.5">
      <c r="A5" s="2">
        <v>1</v>
      </c>
      <c r="B5" s="9" t="s">
        <v>1079</v>
      </c>
      <c r="C5" s="41" t="s">
        <v>1080</v>
      </c>
      <c r="D5" s="45" t="s">
        <v>277</v>
      </c>
      <c r="E5" s="630">
        <f>'[5]Annual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.75">
      <c r="A6" s="2">
        <v>2</v>
      </c>
      <c r="B6" s="9" t="s">
        <v>1081</v>
      </c>
      <c r="C6" s="41" t="s">
        <v>1082</v>
      </c>
      <c r="D6" s="45" t="s">
        <v>277</v>
      </c>
      <c r="E6" s="630">
        <f>'[5]Annual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.75">
      <c r="A7" s="2">
        <v>3</v>
      </c>
      <c r="B7" s="9" t="s">
        <v>1083</v>
      </c>
      <c r="C7" s="41" t="s">
        <v>1084</v>
      </c>
      <c r="D7" s="45" t="s">
        <v>277</v>
      </c>
      <c r="E7" s="630">
        <f>'[5]Annual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37.5">
      <c r="A8" s="2">
        <v>4</v>
      </c>
      <c r="B8" s="9" t="s">
        <v>1086</v>
      </c>
      <c r="C8" s="41" t="s">
        <v>1087</v>
      </c>
      <c r="D8" s="45" t="s">
        <v>277</v>
      </c>
      <c r="E8" s="630">
        <f>'[5]Annual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>
      <c r="A9" s="2">
        <v>5</v>
      </c>
      <c r="B9" s="9" t="s">
        <v>1085</v>
      </c>
      <c r="C9" s="9" t="s">
        <v>761</v>
      </c>
      <c r="D9" s="8" t="s">
        <v>42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120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29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29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29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33" t="s">
        <v>677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1088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1066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1089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1090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1091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1092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1071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1072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997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1093</v>
      </c>
      <c r="D16" s="259">
        <v>12</v>
      </c>
      <c r="E16" s="436" t="s">
        <v>1094</v>
      </c>
      <c r="F16" s="455"/>
    </row>
    <row r="17" spans="1:26" ht="18.75">
      <c r="A17" s="574"/>
      <c r="B17" s="9" t="s">
        <v>1088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1066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1089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1090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1091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1092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1071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1072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871</v>
      </c>
      <c r="M3" s="592" t="s">
        <v>872</v>
      </c>
      <c r="N3" s="592" t="s">
        <v>15</v>
      </c>
      <c r="O3" s="600" t="s">
        <v>16</v>
      </c>
      <c r="P3" s="592" t="s">
        <v>17</v>
      </c>
      <c r="Q3" s="604" t="s">
        <v>18</v>
      </c>
      <c r="R3" s="282" t="s">
        <v>1095</v>
      </c>
      <c r="S3" s="605" t="s">
        <v>1096</v>
      </c>
    </row>
    <row r="4" spans="1:20" ht="18.75">
      <c r="A4" s="1"/>
      <c r="B4" s="1"/>
      <c r="C4" s="6"/>
      <c r="D4" s="6"/>
      <c r="E4" s="67" t="s">
        <v>21</v>
      </c>
      <c r="F4" s="67" t="s">
        <v>21</v>
      </c>
      <c r="G4" s="67" t="s">
        <v>21</v>
      </c>
      <c r="H4" s="67" t="s">
        <v>21</v>
      </c>
      <c r="I4" s="67" t="s">
        <v>21</v>
      </c>
      <c r="J4" s="464" t="s">
        <v>21</v>
      </c>
      <c r="K4" s="67" t="s">
        <v>21</v>
      </c>
      <c r="L4" s="67" t="s">
        <v>21</v>
      </c>
      <c r="M4" s="67" t="s">
        <v>21</v>
      </c>
      <c r="N4" s="67" t="s">
        <v>21</v>
      </c>
      <c r="O4" s="67" t="s">
        <v>21</v>
      </c>
      <c r="P4" s="67" t="s">
        <v>21</v>
      </c>
      <c r="Q4" s="465" t="s">
        <v>21</v>
      </c>
      <c r="R4" s="67" t="s">
        <v>21</v>
      </c>
      <c r="S4" s="464" t="s">
        <v>21</v>
      </c>
    </row>
    <row r="5" spans="1:20" s="1" customFormat="1" ht="20.100000000000001" customHeight="1">
      <c r="A5" s="80">
        <v>1</v>
      </c>
      <c r="B5" s="593" t="s">
        <v>906</v>
      </c>
      <c r="C5" s="71" t="s">
        <v>907</v>
      </c>
      <c r="D5" s="594" t="s">
        <v>908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185</v>
      </c>
      <c r="C6" s="68" t="s">
        <v>909</v>
      </c>
      <c r="D6" s="80" t="s">
        <v>162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913</v>
      </c>
      <c r="C7" s="68" t="s">
        <v>631</v>
      </c>
      <c r="D7" s="594" t="s">
        <v>42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916</v>
      </c>
      <c r="C8" s="68" t="s">
        <v>917</v>
      </c>
      <c r="D8" s="594" t="s">
        <v>36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871</v>
      </c>
      <c r="M3" s="184" t="s">
        <v>872</v>
      </c>
      <c r="N3" s="184" t="s">
        <v>15</v>
      </c>
      <c r="O3" s="22" t="s">
        <v>16</v>
      </c>
      <c r="P3" s="184" t="s">
        <v>17</v>
      </c>
      <c r="Q3" s="463" t="s">
        <v>18</v>
      </c>
      <c r="R3" s="65" t="s">
        <v>1095</v>
      </c>
      <c r="S3" s="589" t="s">
        <v>1096</v>
      </c>
    </row>
    <row r="4" spans="1:20" ht="18.75">
      <c r="A4" s="1"/>
      <c r="B4" s="1"/>
      <c r="C4" s="6"/>
      <c r="D4" s="6"/>
      <c r="E4" s="67" t="s">
        <v>21</v>
      </c>
      <c r="F4" s="67" t="s">
        <v>21</v>
      </c>
      <c r="G4" s="67" t="s">
        <v>21</v>
      </c>
      <c r="H4" s="67" t="s">
        <v>21</v>
      </c>
      <c r="I4" s="67" t="s">
        <v>21</v>
      </c>
      <c r="J4" s="464" t="s">
        <v>21</v>
      </c>
      <c r="K4" s="67" t="s">
        <v>21</v>
      </c>
      <c r="L4" s="67" t="s">
        <v>21</v>
      </c>
      <c r="M4" s="67" t="s">
        <v>21</v>
      </c>
      <c r="N4" s="67" t="s">
        <v>21</v>
      </c>
      <c r="O4" s="67" t="s">
        <v>21</v>
      </c>
      <c r="P4" s="67" t="s">
        <v>21</v>
      </c>
      <c r="Q4" s="465" t="s">
        <v>21</v>
      </c>
      <c r="R4" s="67" t="s">
        <v>21</v>
      </c>
      <c r="S4" s="464" t="s">
        <v>21</v>
      </c>
    </row>
    <row r="5" spans="1:20" s="1" customFormat="1" ht="20.100000000000001" customHeight="1">
      <c r="A5" s="8">
        <v>6</v>
      </c>
      <c r="B5" s="16" t="s">
        <v>891</v>
      </c>
      <c r="C5" s="15" t="s">
        <v>892</v>
      </c>
      <c r="D5" s="8" t="s">
        <v>29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1174" t="s">
        <v>0</v>
      </c>
      <c r="B1" s="1174"/>
      <c r="C1" s="1174"/>
      <c r="D1" s="1174"/>
    </row>
    <row r="2" spans="1:6" ht="33.75" customHeight="1">
      <c r="A2" s="202" t="s">
        <v>1097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551</v>
      </c>
    </row>
    <row r="5" spans="1:6" ht="17.25" customHeight="1">
      <c r="C5" s="6"/>
      <c r="D5" s="6"/>
      <c r="E5" s="196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582">
        <v>540000</v>
      </c>
      <c r="F7" s="11"/>
    </row>
    <row r="8" spans="1:6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582">
        <v>180000</v>
      </c>
      <c r="F8" s="11"/>
    </row>
    <row r="9" spans="1:6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582">
        <v>180000</v>
      </c>
      <c r="F9" s="11"/>
    </row>
    <row r="10" spans="1:6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582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890</v>
      </c>
      <c r="D11" s="8" t="s">
        <v>29</v>
      </c>
      <c r="E11" s="582">
        <v>180000</v>
      </c>
      <c r="F11" s="11"/>
    </row>
    <row r="12" spans="1:6" ht="20.100000000000001" customHeight="1">
      <c r="A12" s="8">
        <v>6</v>
      </c>
      <c r="B12" s="16" t="s">
        <v>891</v>
      </c>
      <c r="C12" s="15" t="s">
        <v>892</v>
      </c>
      <c r="D12" s="8" t="s">
        <v>29</v>
      </c>
      <c r="E12" s="582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582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582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619</v>
      </c>
      <c r="D15" s="13" t="s">
        <v>191</v>
      </c>
      <c r="E15" s="582"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52</v>
      </c>
      <c r="D16" s="13" t="s">
        <v>47</v>
      </c>
      <c r="E16" s="582">
        <v>90000</v>
      </c>
      <c r="F16" s="11"/>
    </row>
    <row r="17" spans="1:6" ht="20.100000000000001" customHeight="1">
      <c r="A17" s="8">
        <v>11</v>
      </c>
      <c r="B17" s="9" t="s">
        <v>45</v>
      </c>
      <c r="C17" s="2" t="s">
        <v>46</v>
      </c>
      <c r="D17" s="8" t="s">
        <v>53</v>
      </c>
      <c r="E17" s="582">
        <v>90000</v>
      </c>
      <c r="F17" s="11"/>
    </row>
    <row r="18" spans="1:6" ht="20.100000000000001" customHeight="1">
      <c r="A18" s="8">
        <v>12</v>
      </c>
      <c r="B18" s="9" t="s">
        <v>48</v>
      </c>
      <c r="C18" s="2" t="s">
        <v>894</v>
      </c>
      <c r="D18" s="8" t="s">
        <v>56</v>
      </c>
      <c r="E18" s="582">
        <v>90000</v>
      </c>
    </row>
    <row r="19" spans="1:6" ht="20.100000000000001" customHeight="1">
      <c r="A19" s="8">
        <v>13</v>
      </c>
      <c r="B19" s="9" t="s">
        <v>51</v>
      </c>
      <c r="C19" s="10" t="s">
        <v>61</v>
      </c>
      <c r="D19" s="13" t="s">
        <v>575</v>
      </c>
      <c r="E19" s="582">
        <v>90000</v>
      </c>
      <c r="F19" s="11"/>
    </row>
    <row r="20" spans="1:6" ht="20.100000000000001" customHeight="1">
      <c r="A20" s="8">
        <v>14</v>
      </c>
      <c r="B20" s="16" t="s">
        <v>54</v>
      </c>
      <c r="C20" s="2" t="s">
        <v>55</v>
      </c>
      <c r="D20" s="13" t="s">
        <v>59</v>
      </c>
      <c r="E20" s="582">
        <v>90000</v>
      </c>
      <c r="F20" s="11"/>
    </row>
    <row r="21" spans="1:6" ht="18.75" customHeight="1">
      <c r="A21" s="8">
        <v>15</v>
      </c>
      <c r="B21" s="9" t="s">
        <v>65</v>
      </c>
      <c r="C21" s="10" t="s">
        <v>177</v>
      </c>
      <c r="D21" s="13" t="s">
        <v>70</v>
      </c>
      <c r="E21" s="582">
        <v>68000</v>
      </c>
      <c r="F21" s="11"/>
    </row>
    <row r="22" spans="1:6" ht="20.100000000000001" customHeight="1">
      <c r="A22" s="8">
        <v>16</v>
      </c>
      <c r="B22" s="12" t="s">
        <v>68</v>
      </c>
      <c r="C22" s="15" t="s">
        <v>69</v>
      </c>
      <c r="D22" s="8" t="s">
        <v>179</v>
      </c>
      <c r="E22" s="582">
        <v>68000</v>
      </c>
      <c r="F22" s="11"/>
    </row>
    <row r="23" spans="1:6" ht="21.6" customHeight="1">
      <c r="A23" s="8">
        <v>17</v>
      </c>
      <c r="B23" s="9" t="s">
        <v>71</v>
      </c>
      <c r="C23" s="15" t="s">
        <v>72</v>
      </c>
      <c r="D23" s="13" t="s">
        <v>179</v>
      </c>
      <c r="E23" s="582">
        <v>68000</v>
      </c>
      <c r="F23" s="11"/>
    </row>
    <row r="24" spans="1:6" ht="20.100000000000001" customHeight="1">
      <c r="A24" s="8">
        <v>18</v>
      </c>
      <c r="B24" s="12" t="s">
        <v>73</v>
      </c>
      <c r="C24" s="15" t="s">
        <v>74</v>
      </c>
      <c r="D24" s="8" t="s">
        <v>81</v>
      </c>
      <c r="E24" s="582">
        <v>68000</v>
      </c>
      <c r="F24" s="11"/>
    </row>
    <row r="25" spans="1:6" ht="18.75" customHeight="1">
      <c r="A25" s="8">
        <v>19</v>
      </c>
      <c r="B25" s="2" t="s">
        <v>483</v>
      </c>
      <c r="C25" s="2" t="s">
        <v>94</v>
      </c>
      <c r="D25" s="8" t="s">
        <v>86</v>
      </c>
      <c r="E25" s="582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94</v>
      </c>
      <c r="D26" s="13" t="s">
        <v>86</v>
      </c>
      <c r="E26" s="582">
        <v>54000</v>
      </c>
      <c r="F26" s="11"/>
    </row>
    <row r="27" spans="1:6" ht="20.100000000000001" customHeight="1">
      <c r="A27" s="8">
        <v>21</v>
      </c>
      <c r="B27" s="9" t="s">
        <v>82</v>
      </c>
      <c r="C27" s="15" t="s">
        <v>69</v>
      </c>
      <c r="D27" s="8" t="s">
        <v>86</v>
      </c>
      <c r="E27" s="582">
        <v>54000</v>
      </c>
      <c r="F27" s="11"/>
    </row>
    <row r="28" spans="1:6" ht="18.75" customHeight="1">
      <c r="A28" s="8">
        <v>22</v>
      </c>
      <c r="B28" s="16" t="s">
        <v>84</v>
      </c>
      <c r="C28" s="10" t="s">
        <v>85</v>
      </c>
      <c r="D28" s="13" t="s">
        <v>99</v>
      </c>
      <c r="E28" s="582">
        <v>54000</v>
      </c>
      <c r="F28" s="11"/>
    </row>
    <row r="29" spans="1:6" ht="18.75" customHeight="1">
      <c r="A29" s="8">
        <v>23</v>
      </c>
      <c r="B29" s="16" t="s">
        <v>87</v>
      </c>
      <c r="C29" s="2" t="s">
        <v>88</v>
      </c>
      <c r="D29" s="8" t="s">
        <v>225</v>
      </c>
      <c r="E29" s="582">
        <v>54000</v>
      </c>
      <c r="F29" s="11"/>
    </row>
    <row r="30" spans="1:6" ht="18.75" customHeight="1">
      <c r="A30" s="8">
        <v>24</v>
      </c>
      <c r="B30" s="16" t="s">
        <v>89</v>
      </c>
      <c r="C30" s="2" t="s">
        <v>88</v>
      </c>
      <c r="D30" s="8" t="s">
        <v>225</v>
      </c>
      <c r="E30" s="582">
        <v>54000</v>
      </c>
      <c r="F30" s="11"/>
    </row>
    <row r="31" spans="1:6" ht="18.75" customHeight="1">
      <c r="A31" s="8">
        <v>25</v>
      </c>
      <c r="B31" s="16" t="s">
        <v>91</v>
      </c>
      <c r="C31" s="15" t="s">
        <v>622</v>
      </c>
      <c r="D31" s="13" t="s">
        <v>86</v>
      </c>
      <c r="E31" s="582">
        <v>54000</v>
      </c>
      <c r="F31" s="11"/>
    </row>
    <row r="32" spans="1:6" ht="18.75" customHeight="1">
      <c r="A32" s="8">
        <v>26</v>
      </c>
      <c r="B32" s="16" t="s">
        <v>95</v>
      </c>
      <c r="C32" s="2" t="s">
        <v>623</v>
      </c>
      <c r="D32" s="8" t="s">
        <v>108</v>
      </c>
      <c r="E32" s="582">
        <v>54000</v>
      </c>
      <c r="F32" s="11"/>
    </row>
    <row r="33" spans="1:6" ht="18.75" customHeight="1">
      <c r="A33" s="8">
        <v>27</v>
      </c>
      <c r="B33" s="16" t="s">
        <v>103</v>
      </c>
      <c r="C33" s="10" t="s">
        <v>104</v>
      </c>
      <c r="D33" s="13" t="s">
        <v>111</v>
      </c>
      <c r="E33" s="582">
        <v>54000</v>
      </c>
      <c r="F33" s="11"/>
    </row>
    <row r="34" spans="1:6" ht="21" customHeight="1">
      <c r="A34" s="8"/>
      <c r="B34" s="18" t="s">
        <v>120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121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122</v>
      </c>
      <c r="C37" s="2" t="s">
        <v>123</v>
      </c>
      <c r="D37" s="8" t="s">
        <v>124</v>
      </c>
      <c r="E37" s="582">
        <v>270000</v>
      </c>
      <c r="F37" s="11"/>
    </row>
    <row r="38" spans="1:6" ht="18.75" customHeight="1">
      <c r="A38" s="8">
        <v>2</v>
      </c>
      <c r="B38" s="16" t="s">
        <v>127</v>
      </c>
      <c r="C38" s="2" t="s">
        <v>128</v>
      </c>
      <c r="D38" s="8" t="s">
        <v>81</v>
      </c>
      <c r="E38" s="582">
        <v>68000</v>
      </c>
      <c r="F38" s="11"/>
    </row>
    <row r="39" spans="1:6" ht="18.75" customHeight="1">
      <c r="A39" s="8">
        <v>3</v>
      </c>
      <c r="B39" s="9" t="s">
        <v>129</v>
      </c>
      <c r="C39" s="2" t="s">
        <v>128</v>
      </c>
      <c r="D39" s="13" t="s">
        <v>75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137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582">
        <v>270000</v>
      </c>
      <c r="F43" s="11"/>
    </row>
    <row r="44" spans="1:6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582">
        <v>126000</v>
      </c>
      <c r="F44" s="11"/>
    </row>
    <row r="45" spans="1:6" ht="20.100000000000001" customHeight="1">
      <c r="A45" s="8">
        <v>3</v>
      </c>
      <c r="B45" s="9" t="s">
        <v>138</v>
      </c>
      <c r="C45" s="2" t="s">
        <v>624</v>
      </c>
      <c r="D45" s="8" t="s">
        <v>209</v>
      </c>
      <c r="E45" s="582">
        <v>180000</v>
      </c>
      <c r="F45" s="11"/>
    </row>
    <row r="46" spans="1:6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582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142</v>
      </c>
      <c r="D47" s="8" t="s">
        <v>39</v>
      </c>
      <c r="E47" s="582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142</v>
      </c>
      <c r="D48" s="8" t="s">
        <v>42</v>
      </c>
      <c r="E48" s="582">
        <v>126000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582">
        <v>90000</v>
      </c>
      <c r="F49" s="11"/>
    </row>
    <row r="50" spans="1: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582">
        <v>68000</v>
      </c>
      <c r="F50" s="11"/>
    </row>
    <row r="51" spans="1:6" ht="20.100000000000001" customHeight="1">
      <c r="A51" s="8">
        <v>9</v>
      </c>
      <c r="B51" s="9" t="s">
        <v>153</v>
      </c>
      <c r="C51" s="2" t="s">
        <v>150</v>
      </c>
      <c r="D51" s="8" t="s">
        <v>99</v>
      </c>
      <c r="E51" s="582">
        <v>54000</v>
      </c>
      <c r="F51" s="11"/>
    </row>
    <row r="52" spans="1:6" ht="20.100000000000001" customHeight="1">
      <c r="A52" s="8">
        <v>10</v>
      </c>
      <c r="B52" s="9" t="s">
        <v>898</v>
      </c>
      <c r="C52" s="2" t="s">
        <v>150</v>
      </c>
      <c r="D52" s="8" t="s">
        <v>99</v>
      </c>
      <c r="E52" s="582">
        <v>54000</v>
      </c>
      <c r="F52" s="11"/>
    </row>
    <row r="53" spans="1:6" ht="20.100000000000001" customHeight="1">
      <c r="A53" s="8">
        <v>11</v>
      </c>
      <c r="B53" s="9" t="s">
        <v>155</v>
      </c>
      <c r="C53" s="2" t="s">
        <v>150</v>
      </c>
      <c r="D53" s="8" t="s">
        <v>99</v>
      </c>
      <c r="E53" s="582">
        <v>54000</v>
      </c>
      <c r="F53" s="11"/>
    </row>
    <row r="54" spans="1:6" ht="25.5" customHeight="1">
      <c r="A54" s="8"/>
      <c r="B54" s="18" t="s">
        <v>120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157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899</v>
      </c>
      <c r="C57" s="10" t="s">
        <v>159</v>
      </c>
      <c r="D57" s="13" t="s">
        <v>124</v>
      </c>
      <c r="E57" s="582">
        <v>270000</v>
      </c>
      <c r="F57" s="11"/>
    </row>
    <row r="58" spans="1:6" ht="20.100000000000001" customHeight="1">
      <c r="A58" s="8">
        <v>2</v>
      </c>
      <c r="B58" s="9" t="s">
        <v>160</v>
      </c>
      <c r="C58" s="10" t="s">
        <v>161</v>
      </c>
      <c r="D58" s="13" t="s">
        <v>162</v>
      </c>
      <c r="E58" s="582">
        <v>126000</v>
      </c>
      <c r="F58" s="11"/>
    </row>
    <row r="59" spans="1:6" ht="20.100000000000001" customHeight="1">
      <c r="A59" s="8"/>
      <c r="B59" s="18" t="s">
        <v>120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163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900</v>
      </c>
      <c r="C62" s="15" t="s">
        <v>901</v>
      </c>
      <c r="D62" s="8" t="s">
        <v>124</v>
      </c>
      <c r="E62" s="582">
        <v>270000</v>
      </c>
      <c r="F62" s="11"/>
    </row>
    <row r="63" spans="1:6" ht="20.100000000000001" customHeight="1">
      <c r="A63" s="8">
        <v>2</v>
      </c>
      <c r="B63" s="313" t="s">
        <v>902</v>
      </c>
      <c r="C63" s="15" t="s">
        <v>903</v>
      </c>
      <c r="D63" s="13" t="s">
        <v>50</v>
      </c>
      <c r="E63" s="582">
        <v>126000</v>
      </c>
      <c r="F63" s="11"/>
    </row>
    <row r="64" spans="1:6" ht="20.100000000000001" customHeight="1">
      <c r="A64" s="8">
        <v>3</v>
      </c>
      <c r="B64" s="9" t="s">
        <v>166</v>
      </c>
      <c r="C64" s="2" t="s">
        <v>52</v>
      </c>
      <c r="D64" s="8" t="s">
        <v>53</v>
      </c>
      <c r="E64" s="582">
        <v>90000</v>
      </c>
      <c r="F64" s="11"/>
    </row>
    <row r="65" spans="1:6" ht="20.100000000000001" customHeight="1">
      <c r="A65" s="8">
        <v>4</v>
      </c>
      <c r="B65" s="16" t="s">
        <v>904</v>
      </c>
      <c r="C65" s="15" t="s">
        <v>217</v>
      </c>
      <c r="D65" s="13" t="s">
        <v>575</v>
      </c>
      <c r="E65" s="582">
        <v>90000</v>
      </c>
      <c r="F65" s="11"/>
    </row>
    <row r="66" spans="1:6" ht="20.100000000000001" customHeight="1">
      <c r="A66" s="8">
        <v>5</v>
      </c>
      <c r="B66" s="12" t="s">
        <v>905</v>
      </c>
      <c r="C66" s="15" t="s">
        <v>52</v>
      </c>
      <c r="D66" s="13" t="s">
        <v>191</v>
      </c>
      <c r="E66" s="582">
        <v>90000</v>
      </c>
      <c r="F66" s="11"/>
    </row>
    <row r="67" spans="1:6" ht="20.100000000000001" customHeight="1">
      <c r="A67" s="8">
        <v>7</v>
      </c>
      <c r="B67" s="9" t="s">
        <v>170</v>
      </c>
      <c r="C67" s="2" t="s">
        <v>150</v>
      </c>
      <c r="D67" s="8" t="s">
        <v>131</v>
      </c>
      <c r="E67" s="582">
        <v>68000</v>
      </c>
      <c r="F67" s="11"/>
    </row>
    <row r="68" spans="1:6" ht="20.100000000000001" customHeight="1">
      <c r="A68" s="8">
        <v>8</v>
      </c>
      <c r="B68" s="9" t="s">
        <v>171</v>
      </c>
      <c r="C68" s="15" t="s">
        <v>72</v>
      </c>
      <c r="D68" s="8" t="s">
        <v>131</v>
      </c>
      <c r="E68" s="582">
        <v>68000</v>
      </c>
      <c r="F68" s="11"/>
    </row>
    <row r="69" spans="1:6" ht="20.100000000000001" customHeight="1">
      <c r="A69" s="8">
        <v>9</v>
      </c>
      <c r="B69" s="9" t="s">
        <v>173</v>
      </c>
      <c r="C69" s="15" t="s">
        <v>72</v>
      </c>
      <c r="D69" s="8" t="s">
        <v>131</v>
      </c>
      <c r="E69" s="582">
        <v>68000</v>
      </c>
      <c r="F69" s="11"/>
    </row>
    <row r="70" spans="1:6" ht="20.100000000000001" customHeight="1">
      <c r="A70" s="8">
        <v>10</v>
      </c>
      <c r="B70" s="9" t="s">
        <v>174</v>
      </c>
      <c r="C70" s="2" t="s">
        <v>625</v>
      </c>
      <c r="D70" s="8" t="s">
        <v>70</v>
      </c>
      <c r="E70" s="582">
        <v>68000</v>
      </c>
      <c r="F70" s="11"/>
    </row>
    <row r="71" spans="1: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582">
        <v>68000</v>
      </c>
    </row>
    <row r="72" spans="1:6" ht="27" customHeight="1">
      <c r="A72" s="8"/>
      <c r="B72" s="18" t="s">
        <v>120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182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582">
        <v>270000</v>
      </c>
      <c r="F75" s="11"/>
    </row>
    <row r="76" spans="1:6" ht="20.100000000000001" customHeight="1">
      <c r="A76" s="8">
        <v>2</v>
      </c>
      <c r="B76" s="12" t="s">
        <v>906</v>
      </c>
      <c r="C76" s="2" t="s">
        <v>907</v>
      </c>
      <c r="D76" s="13" t="s">
        <v>908</v>
      </c>
      <c r="E76" s="582">
        <v>126000</v>
      </c>
      <c r="F76" s="11"/>
    </row>
    <row r="77" spans="1:6" ht="20.100000000000001" customHeight="1">
      <c r="A77" s="8">
        <v>3</v>
      </c>
      <c r="B77" s="16" t="s">
        <v>185</v>
      </c>
      <c r="C77" s="10" t="s">
        <v>909</v>
      </c>
      <c r="D77" s="8" t="s">
        <v>162</v>
      </c>
      <c r="E77" s="582">
        <v>126000</v>
      </c>
      <c r="F77" s="11"/>
    </row>
    <row r="78" spans="1:6" ht="20.100000000000001" customHeight="1">
      <c r="A78" s="8">
        <v>4</v>
      </c>
      <c r="B78" s="9" t="s">
        <v>189</v>
      </c>
      <c r="C78" s="2" t="s">
        <v>190</v>
      </c>
      <c r="D78" s="13" t="s">
        <v>214</v>
      </c>
      <c r="E78" s="582">
        <v>90000</v>
      </c>
      <c r="F78" s="11"/>
    </row>
    <row r="79" spans="1:6" ht="20.100000000000001" customHeight="1">
      <c r="A79" s="8">
        <v>5</v>
      </c>
      <c r="B79" s="9" t="s">
        <v>196</v>
      </c>
      <c r="C79" s="2" t="s">
        <v>181</v>
      </c>
      <c r="D79" s="8" t="s">
        <v>78</v>
      </c>
      <c r="E79" s="582">
        <v>68000</v>
      </c>
      <c r="F79" s="11"/>
    </row>
    <row r="80" spans="1:6" ht="20.100000000000001" customHeight="1">
      <c r="A80" s="8">
        <v>6</v>
      </c>
      <c r="B80" s="9" t="s">
        <v>200</v>
      </c>
      <c r="C80" s="2" t="s">
        <v>181</v>
      </c>
      <c r="D80" s="8" t="s">
        <v>99</v>
      </c>
      <c r="E80" s="582">
        <v>54000</v>
      </c>
      <c r="F80" s="11"/>
    </row>
    <row r="81" spans="1:6" ht="20.100000000000001" customHeight="1">
      <c r="A81" s="8">
        <v>7</v>
      </c>
      <c r="B81" s="9" t="s">
        <v>202</v>
      </c>
      <c r="C81" s="2" t="s">
        <v>203</v>
      </c>
      <c r="D81" s="8" t="s">
        <v>111</v>
      </c>
      <c r="E81" s="582">
        <v>54000</v>
      </c>
      <c r="F81" s="11"/>
    </row>
    <row r="82" spans="1:6" ht="20.100000000000001" customHeight="1">
      <c r="A82" s="8"/>
      <c r="B82" s="18" t="s">
        <v>120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204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207</v>
      </c>
      <c r="C85" s="2" t="s">
        <v>142</v>
      </c>
      <c r="D85" s="8" t="s">
        <v>39</v>
      </c>
      <c r="E85" s="582">
        <v>126000</v>
      </c>
      <c r="F85" s="11"/>
    </row>
    <row r="86" spans="1:6" ht="20.100000000000001" customHeight="1">
      <c r="A86" s="8">
        <v>2</v>
      </c>
      <c r="B86" s="9" t="s">
        <v>205</v>
      </c>
      <c r="C86" s="2" t="s">
        <v>142</v>
      </c>
      <c r="D86" s="8" t="s">
        <v>39</v>
      </c>
      <c r="E86" s="582">
        <v>126000</v>
      </c>
      <c r="F86" s="11"/>
    </row>
    <row r="87" spans="1:6" ht="20.100000000000001" customHeight="1">
      <c r="A87" s="8">
        <v>3</v>
      </c>
      <c r="B87" s="9" t="s">
        <v>210</v>
      </c>
      <c r="C87" s="2" t="s">
        <v>142</v>
      </c>
      <c r="D87" s="8" t="s">
        <v>42</v>
      </c>
      <c r="E87" s="582">
        <v>126000</v>
      </c>
      <c r="F87" s="11"/>
    </row>
    <row r="88" spans="1:6" ht="21.6" customHeight="1">
      <c r="A88" s="8">
        <v>4</v>
      </c>
      <c r="B88" s="9" t="s">
        <v>211</v>
      </c>
      <c r="C88" s="2" t="s">
        <v>910</v>
      </c>
      <c r="D88" s="13" t="s">
        <v>56</v>
      </c>
      <c r="E88" s="582">
        <v>90000</v>
      </c>
      <c r="F88" s="11"/>
    </row>
    <row r="89" spans="1:6" ht="21.6" customHeight="1">
      <c r="A89" s="8">
        <v>5</v>
      </c>
      <c r="B89" s="9" t="s">
        <v>212</v>
      </c>
      <c r="C89" s="10" t="s">
        <v>217</v>
      </c>
      <c r="D89" s="13" t="s">
        <v>575</v>
      </c>
      <c r="E89" s="582">
        <v>90000</v>
      </c>
      <c r="F89" s="11"/>
    </row>
    <row r="90" spans="1:6" ht="21.6" customHeight="1">
      <c r="A90" s="8">
        <v>6</v>
      </c>
      <c r="B90" s="9" t="s">
        <v>213</v>
      </c>
      <c r="C90" s="10" t="s">
        <v>52</v>
      </c>
      <c r="D90" s="13" t="s">
        <v>574</v>
      </c>
      <c r="E90" s="582">
        <v>90000</v>
      </c>
      <c r="F90" s="11"/>
    </row>
    <row r="91" spans="1:6" ht="21.6" customHeight="1">
      <c r="A91" s="8">
        <v>7</v>
      </c>
      <c r="B91" s="9" t="s">
        <v>215</v>
      </c>
      <c r="C91" s="15" t="s">
        <v>72</v>
      </c>
      <c r="D91" s="13" t="s">
        <v>131</v>
      </c>
      <c r="E91" s="582">
        <v>68000</v>
      </c>
      <c r="F91" s="11"/>
    </row>
    <row r="92" spans="1:6" ht="21.6" customHeight="1">
      <c r="A92" s="8">
        <v>8</v>
      </c>
      <c r="B92" s="9" t="s">
        <v>216</v>
      </c>
      <c r="C92" s="15" t="s">
        <v>217</v>
      </c>
      <c r="D92" s="13" t="s">
        <v>67</v>
      </c>
      <c r="E92" s="582">
        <v>90000</v>
      </c>
      <c r="F92" s="11"/>
    </row>
    <row r="93" spans="1:6" ht="21.6" customHeight="1">
      <c r="A93" s="8">
        <v>9</v>
      </c>
      <c r="B93" s="9" t="s">
        <v>220</v>
      </c>
      <c r="C93" s="2" t="s">
        <v>221</v>
      </c>
      <c r="D93" s="8" t="s">
        <v>75</v>
      </c>
      <c r="E93" s="582">
        <v>68000</v>
      </c>
      <c r="F93" s="11"/>
    </row>
    <row r="94" spans="1:6" ht="21.6" customHeight="1">
      <c r="A94" s="8">
        <v>10</v>
      </c>
      <c r="B94" s="9" t="s">
        <v>224</v>
      </c>
      <c r="C94" s="15" t="s">
        <v>554</v>
      </c>
      <c r="D94" s="13" t="s">
        <v>108</v>
      </c>
      <c r="E94" s="582">
        <v>54000</v>
      </c>
      <c r="F94" s="11"/>
    </row>
    <row r="95" spans="1:6" ht="20.100000000000001" customHeight="1">
      <c r="A95" s="8"/>
      <c r="B95" s="18" t="s">
        <v>120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226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227</v>
      </c>
      <c r="C98" s="2" t="s">
        <v>626</v>
      </c>
      <c r="D98" s="14" t="s">
        <v>577</v>
      </c>
      <c r="E98" s="582">
        <v>270000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214</v>
      </c>
      <c r="E99" s="582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627</v>
      </c>
      <c r="D100" s="13" t="s">
        <v>70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199</v>
      </c>
      <c r="D101" s="13" t="s">
        <v>75</v>
      </c>
      <c r="E101" s="582">
        <v>68000</v>
      </c>
      <c r="F101" s="11"/>
    </row>
    <row r="102" spans="1:6" ht="20.100000000000001" customHeight="1">
      <c r="A102" s="2"/>
      <c r="B102" s="18" t="s">
        <v>120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239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911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517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108</v>
      </c>
      <c r="E111" s="582">
        <v>54000</v>
      </c>
      <c r="F111" s="11"/>
    </row>
    <row r="112" spans="1:6" ht="25.5" customHeight="1">
      <c r="A112" s="2"/>
      <c r="B112" s="18" t="s">
        <v>120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257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164</v>
      </c>
      <c r="C115" s="2" t="s">
        <v>142</v>
      </c>
      <c r="D115" s="8" t="s">
        <v>50</v>
      </c>
      <c r="E115" s="582">
        <v>126000</v>
      </c>
      <c r="F115" s="11"/>
    </row>
    <row r="116" spans="1:6" ht="18.75" customHeight="1">
      <c r="A116" s="8">
        <v>2</v>
      </c>
      <c r="B116" s="9" t="s">
        <v>259</v>
      </c>
      <c r="C116" s="2" t="s">
        <v>260</v>
      </c>
      <c r="D116" s="13" t="s">
        <v>70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192</v>
      </c>
      <c r="C117" s="10" t="s">
        <v>912</v>
      </c>
      <c r="D117" s="13" t="s">
        <v>172</v>
      </c>
      <c r="E117" s="582">
        <v>68000</v>
      </c>
      <c r="F117" s="11"/>
    </row>
    <row r="118" spans="1:6" ht="24.75" customHeight="1">
      <c r="A118" s="2"/>
      <c r="B118" s="18" t="s">
        <v>120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280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281</v>
      </c>
      <c r="C121" s="10" t="s">
        <v>282</v>
      </c>
      <c r="D121" s="13" t="s">
        <v>124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283</v>
      </c>
      <c r="C122" s="10" t="s">
        <v>630</v>
      </c>
      <c r="D122" s="13" t="s">
        <v>209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285</v>
      </c>
      <c r="C123" s="10" t="s">
        <v>631</v>
      </c>
      <c r="D123" s="13" t="s">
        <v>39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913</v>
      </c>
      <c r="C124" s="10" t="s">
        <v>631</v>
      </c>
      <c r="D124" s="13" t="s">
        <v>42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288</v>
      </c>
      <c r="C125" s="10" t="s">
        <v>290</v>
      </c>
      <c r="D125" s="13" t="s">
        <v>47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289</v>
      </c>
      <c r="C126" s="10" t="s">
        <v>632</v>
      </c>
      <c r="D126" s="13" t="s">
        <v>53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291</v>
      </c>
      <c r="C127" s="10" t="s">
        <v>290</v>
      </c>
      <c r="D127" s="13" t="s">
        <v>214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294</v>
      </c>
      <c r="C128" s="10" t="s">
        <v>633</v>
      </c>
      <c r="D128" s="8" t="s">
        <v>86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296</v>
      </c>
      <c r="C129" s="10" t="s">
        <v>297</v>
      </c>
      <c r="D129" s="13" t="s">
        <v>111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298</v>
      </c>
      <c r="C130" s="10" t="s">
        <v>293</v>
      </c>
      <c r="D130" s="13" t="s">
        <v>111</v>
      </c>
      <c r="E130" s="582">
        <v>54000</v>
      </c>
      <c r="F130" s="11"/>
    </row>
    <row r="131" spans="1:6" ht="28.5" customHeight="1">
      <c r="A131" s="2"/>
      <c r="B131" s="18" t="s">
        <v>120</v>
      </c>
      <c r="C131" s="24" t="s">
        <v>634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301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914</v>
      </c>
      <c r="C134" s="10" t="s">
        <v>915</v>
      </c>
      <c r="D134" s="13" t="s">
        <v>124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916</v>
      </c>
      <c r="C135" s="10" t="s">
        <v>917</v>
      </c>
      <c r="D135" s="13" t="s">
        <v>36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36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918</v>
      </c>
      <c r="D137" s="13" t="s">
        <v>191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191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311</v>
      </c>
      <c r="C139" s="2" t="s">
        <v>313</v>
      </c>
      <c r="D139" s="13" t="s">
        <v>191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919</v>
      </c>
      <c r="D140" s="13" t="s">
        <v>172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919</v>
      </c>
      <c r="D141" s="13" t="s">
        <v>172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920</v>
      </c>
      <c r="D142" s="13" t="s">
        <v>172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636</v>
      </c>
      <c r="D143" s="13" t="s">
        <v>70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320</v>
      </c>
      <c r="D144" s="13" t="s">
        <v>131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62</v>
      </c>
      <c r="C145" s="10" t="s">
        <v>921</v>
      </c>
      <c r="D145" s="13" t="s">
        <v>172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322</v>
      </c>
      <c r="D146" s="13" t="s">
        <v>179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922</v>
      </c>
      <c r="D147" s="13" t="s">
        <v>78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922</v>
      </c>
      <c r="D148" s="13" t="s">
        <v>151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922</v>
      </c>
      <c r="D149" s="13" t="s">
        <v>151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329</v>
      </c>
      <c r="C151" s="10" t="s">
        <v>330</v>
      </c>
      <c r="D151" s="8" t="s">
        <v>99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637</v>
      </c>
      <c r="D152" s="13" t="s">
        <v>78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638</v>
      </c>
      <c r="D153" s="13" t="s">
        <v>86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639</v>
      </c>
      <c r="D154" s="13" t="s">
        <v>78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640</v>
      </c>
      <c r="D155" s="13" t="s">
        <v>86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339</v>
      </c>
      <c r="D156" s="13" t="s">
        <v>225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111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111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111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641</v>
      </c>
      <c r="D160" s="13" t="s">
        <v>108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352</v>
      </c>
      <c r="C161" s="10" t="s">
        <v>348</v>
      </c>
      <c r="D161" s="13" t="s">
        <v>111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361</v>
      </c>
      <c r="C162" s="10" t="s">
        <v>556</v>
      </c>
      <c r="D162" s="13" t="s">
        <v>386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364</v>
      </c>
      <c r="C163" s="10" t="s">
        <v>556</v>
      </c>
      <c r="D163" s="13" t="s">
        <v>386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642</v>
      </c>
      <c r="C164" s="10" t="s">
        <v>556</v>
      </c>
      <c r="D164" s="13" t="s">
        <v>386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365</v>
      </c>
      <c r="C165" s="10" t="s">
        <v>556</v>
      </c>
      <c r="D165" s="13" t="s">
        <v>386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366</v>
      </c>
      <c r="C166" s="10" t="s">
        <v>556</v>
      </c>
      <c r="D166" s="13" t="s">
        <v>386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367</v>
      </c>
      <c r="C167" s="10" t="s">
        <v>556</v>
      </c>
      <c r="D167" s="13" t="s">
        <v>379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369</v>
      </c>
      <c r="C168" s="10" t="s">
        <v>556</v>
      </c>
      <c r="D168" s="13" t="s">
        <v>379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370</v>
      </c>
      <c r="C169" s="10" t="s">
        <v>556</v>
      </c>
      <c r="D169" s="13" t="s">
        <v>379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371</v>
      </c>
      <c r="C170" s="10" t="s">
        <v>556</v>
      </c>
      <c r="D170" s="13" t="s">
        <v>379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372</v>
      </c>
      <c r="C171" s="10" t="s">
        <v>556</v>
      </c>
      <c r="D171" s="13" t="s">
        <v>379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359</v>
      </c>
      <c r="C172" s="10" t="s">
        <v>556</v>
      </c>
      <c r="D172" s="13" t="s">
        <v>379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373</v>
      </c>
      <c r="C173" s="10" t="s">
        <v>362</v>
      </c>
      <c r="D173" s="13" t="s">
        <v>583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375</v>
      </c>
      <c r="C174" s="10" t="s">
        <v>362</v>
      </c>
      <c r="D174" s="13" t="s">
        <v>583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376</v>
      </c>
      <c r="C175" s="10" t="s">
        <v>362</v>
      </c>
      <c r="D175" s="13" t="s">
        <v>582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378</v>
      </c>
      <c r="C176" s="10" t="s">
        <v>389</v>
      </c>
      <c r="D176" s="13" t="s">
        <v>584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380</v>
      </c>
      <c r="C177" s="10" t="s">
        <v>558</v>
      </c>
      <c r="D177" s="13" t="s">
        <v>645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381</v>
      </c>
      <c r="C178" s="10" t="s">
        <v>558</v>
      </c>
      <c r="D178" s="13" t="s">
        <v>645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382</v>
      </c>
      <c r="C179" s="10" t="s">
        <v>558</v>
      </c>
      <c r="D179" s="13" t="s">
        <v>645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383</v>
      </c>
      <c r="C180" s="10" t="s">
        <v>558</v>
      </c>
      <c r="D180" s="13" t="s">
        <v>645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384</v>
      </c>
      <c r="C181" s="10" t="s">
        <v>558</v>
      </c>
      <c r="D181" s="13" t="s">
        <v>645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385</v>
      </c>
      <c r="C182" s="10" t="s">
        <v>558</v>
      </c>
      <c r="D182" s="13" t="s">
        <v>645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387</v>
      </c>
      <c r="C183" s="10" t="s">
        <v>558</v>
      </c>
      <c r="D183" s="13" t="s">
        <v>645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644</v>
      </c>
      <c r="C184" s="10" t="s">
        <v>389</v>
      </c>
      <c r="D184" s="13" t="s">
        <v>645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388</v>
      </c>
      <c r="C185" s="10" t="s">
        <v>389</v>
      </c>
      <c r="D185" s="13" t="s">
        <v>645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360</v>
      </c>
      <c r="C186" s="10" t="s">
        <v>392</v>
      </c>
      <c r="D186" s="13" t="s">
        <v>393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394</v>
      </c>
      <c r="C187" s="10" t="s">
        <v>558</v>
      </c>
      <c r="D187" s="13" t="s">
        <v>400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398</v>
      </c>
      <c r="C188" s="10" t="s">
        <v>399</v>
      </c>
      <c r="D188" s="13" t="s">
        <v>923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401</v>
      </c>
      <c r="C189" s="10" t="s">
        <v>399</v>
      </c>
      <c r="D189" s="13" t="s">
        <v>923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402</v>
      </c>
      <c r="C190" s="10" t="s">
        <v>399</v>
      </c>
      <c r="D190" s="13" t="s">
        <v>923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403</v>
      </c>
      <c r="C191" s="10" t="s">
        <v>404</v>
      </c>
      <c r="D191" s="13" t="s">
        <v>395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406</v>
      </c>
      <c r="C192" s="10" t="s">
        <v>404</v>
      </c>
      <c r="D192" s="13" t="s">
        <v>395</v>
      </c>
      <c r="E192" s="582">
        <v>36000</v>
      </c>
      <c r="F192" s="11"/>
    </row>
    <row r="193" spans="1:6" ht="30.75" customHeight="1">
      <c r="A193" s="25"/>
      <c r="B193" s="6" t="s">
        <v>120</v>
      </c>
      <c r="C193" s="26" t="s">
        <v>924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408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660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661</v>
      </c>
      <c r="C3" s="580">
        <f>'[13]CONTRACT Welfare'!$E$26</f>
        <v>1688000</v>
      </c>
      <c r="D3" s="579"/>
      <c r="E3" s="579"/>
    </row>
    <row r="4" spans="1:5" ht="20.25">
      <c r="A4" s="579">
        <v>3</v>
      </c>
      <c r="B4" s="579" t="s">
        <v>662</v>
      </c>
      <c r="C4" s="580">
        <f>'[13]CAS. SABB. NYSC Welfare'!$D$58</f>
        <v>1791000</v>
      </c>
      <c r="D4" s="579"/>
      <c r="E4" s="579"/>
    </row>
    <row r="5" spans="1:5" ht="20.25">
      <c r="A5" s="579">
        <v>4</v>
      </c>
      <c r="B5" s="579" t="s">
        <v>1056</v>
      </c>
      <c r="C5" s="580">
        <f>'[13]CONSULTANCY Welfare'!$D$31</f>
        <v>1746000</v>
      </c>
      <c r="D5" s="579"/>
      <c r="E5" s="579"/>
    </row>
    <row r="6" spans="1:5" ht="20.25">
      <c r="A6" s="579">
        <v>5</v>
      </c>
      <c r="B6" s="579" t="s">
        <v>1098</v>
      </c>
      <c r="C6" s="580">
        <f>'[13]Welfare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1099</v>
      </c>
      <c r="E1" s="578" t="s">
        <v>1100</v>
      </c>
      <c r="F1" s="578" t="s">
        <v>1101</v>
      </c>
      <c r="G1" s="578" t="s">
        <v>1102</v>
      </c>
      <c r="H1" s="578" t="s">
        <v>1103</v>
      </c>
      <c r="I1" s="578" t="s">
        <v>1104</v>
      </c>
    </row>
    <row r="2" spans="1:9" s="1" customFormat="1" ht="33" customHeight="1">
      <c r="A2" s="16" t="s">
        <v>185</v>
      </c>
      <c r="B2" s="16" t="s">
        <v>909</v>
      </c>
      <c r="C2" s="8" t="s">
        <v>162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1124" t="s">
        <v>0</v>
      </c>
      <c r="B1" s="1124"/>
      <c r="C1" s="1124"/>
      <c r="D1" s="1124"/>
      <c r="E1" s="1124"/>
      <c r="F1" s="1124"/>
      <c r="G1" s="183"/>
      <c r="H1" s="183"/>
      <c r="I1" s="183"/>
    </row>
    <row r="2" spans="1:22" ht="33.75" customHeight="1">
      <c r="A2" s="61" t="s">
        <v>1105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871</v>
      </c>
      <c r="M4" s="184" t="s">
        <v>872</v>
      </c>
      <c r="N4" s="184" t="s">
        <v>15</v>
      </c>
      <c r="O4" s="22" t="s">
        <v>16</v>
      </c>
      <c r="P4" s="22" t="s">
        <v>1035</v>
      </c>
      <c r="Q4" s="22" t="s">
        <v>1101</v>
      </c>
      <c r="R4" s="184" t="s">
        <v>17</v>
      </c>
      <c r="S4" s="310" t="s">
        <v>18</v>
      </c>
      <c r="T4" s="65" t="s">
        <v>1106</v>
      </c>
      <c r="U4" s="284" t="s">
        <v>1107</v>
      </c>
    </row>
    <row r="5" spans="1:22" ht="17.25" customHeight="1">
      <c r="C5" s="6"/>
      <c r="D5" s="6"/>
      <c r="E5" s="67" t="s">
        <v>21</v>
      </c>
      <c r="F5" s="19"/>
      <c r="G5" s="67" t="s">
        <v>21</v>
      </c>
      <c r="H5" s="67" t="s">
        <v>21</v>
      </c>
      <c r="I5" s="67" t="s">
        <v>21</v>
      </c>
      <c r="J5" s="270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67" t="s">
        <v>21</v>
      </c>
      <c r="R5" s="67" t="s">
        <v>21</v>
      </c>
      <c r="S5" s="409" t="s">
        <v>21</v>
      </c>
      <c r="T5" s="67" t="s">
        <v>21</v>
      </c>
      <c r="U5" s="196" t="s">
        <v>21</v>
      </c>
    </row>
    <row r="6" spans="1:22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27</v>
      </c>
      <c r="C7" s="10" t="s">
        <v>28</v>
      </c>
      <c r="D7" s="8" t="s">
        <v>29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30</v>
      </c>
      <c r="C8" s="2" t="s">
        <v>31</v>
      </c>
      <c r="D8" s="8" t="s">
        <v>29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302</v>
      </c>
      <c r="C9" s="2" t="s">
        <v>890</v>
      </c>
      <c r="D9" s="8" t="s">
        <v>29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'[14]OCTOBER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891</v>
      </c>
      <c r="C10" s="8" t="s">
        <v>892</v>
      </c>
      <c r="D10" s="8" t="s">
        <v>29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207</v>
      </c>
      <c r="C11" s="2" t="s">
        <v>142</v>
      </c>
      <c r="D11" s="8" t="s">
        <v>39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37</v>
      </c>
      <c r="C12" s="2" t="s">
        <v>38</v>
      </c>
      <c r="D12" s="8" t="s">
        <v>42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45</v>
      </c>
      <c r="C13" s="2" t="s">
        <v>46</v>
      </c>
      <c r="D13" s="8" t="s">
        <v>53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54</v>
      </c>
      <c r="C14" s="2" t="s">
        <v>55</v>
      </c>
      <c r="D14" s="13" t="s">
        <v>59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68</v>
      </c>
      <c r="C15" s="15" t="s">
        <v>69</v>
      </c>
      <c r="D15" s="8" t="s">
        <v>179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73</v>
      </c>
      <c r="C16" s="15" t="s">
        <v>74</v>
      </c>
      <c r="D16" s="8" t="s">
        <v>81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120</v>
      </c>
      <c r="C17" s="26" t="s">
        <v>634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1108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20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27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30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32</v>
      </c>
      <c r="C9" s="422">
        <v>942373.16666666698</v>
      </c>
      <c r="D9" s="423">
        <v>12</v>
      </c>
      <c r="E9" s="424">
        <f t="shared" si="14"/>
        <v>11308478</v>
      </c>
      <c r="F9" s="424">
        <f>'[10]JANUARY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14"/>
        <v>15606230.640000001</v>
      </c>
      <c r="F10" s="424">
        <f>'[10]JANUARY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891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34</v>
      </c>
      <c r="C12" s="422">
        <v>750675.58333333302</v>
      </c>
      <c r="D12" s="423">
        <v>12</v>
      </c>
      <c r="E12" s="424">
        <f t="shared" si="14"/>
        <v>9008107</v>
      </c>
      <c r="F12" s="424">
        <f>'[10]JANUARY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37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'[10]JANUARY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40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43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45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48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51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54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65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68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71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73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483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82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84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87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95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103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122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127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129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137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895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897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138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141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9368107</v>
      </c>
      <c r="F44" s="424">
        <f>'[10]JANUARY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898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155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157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158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160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163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900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902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904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905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171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182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183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906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185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189</v>
      </c>
      <c r="C73" s="424">
        <v>596622.25</v>
      </c>
      <c r="D73" s="423">
        <v>12</v>
      </c>
      <c r="E73" s="424">
        <f t="shared" si="55"/>
        <v>7159467</v>
      </c>
      <c r="F73" s="424">
        <f>'[10]JANUARY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196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200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202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120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204</v>
      </c>
      <c r="C79" s="424"/>
      <c r="AB79" s="259" t="s">
        <v>995</v>
      </c>
      <c r="AC79" s="436"/>
      <c r="AD79" s="436"/>
      <c r="AE79" s="436"/>
    </row>
    <row r="80" spans="1:31" ht="18.75">
      <c r="A80" s="421">
        <v>68</v>
      </c>
      <c r="B80" s="9" t="s">
        <v>207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207</v>
      </c>
      <c r="AD80" s="436"/>
      <c r="AE80" s="436"/>
    </row>
    <row r="81" spans="1:31" ht="18.75">
      <c r="A81" s="421">
        <v>69</v>
      </c>
      <c r="B81" s="9" t="s">
        <v>205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'[10]JANUARY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205</v>
      </c>
      <c r="AD81" s="436"/>
      <c r="AE81" s="436"/>
    </row>
    <row r="82" spans="1:31" ht="37.5">
      <c r="A82" s="421">
        <v>70</v>
      </c>
      <c r="B82" s="9" t="s">
        <v>210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210</v>
      </c>
      <c r="AD82" s="436"/>
      <c r="AE82" s="436"/>
    </row>
    <row r="83" spans="1:31" ht="18.75">
      <c r="A83" s="421">
        <v>71</v>
      </c>
      <c r="B83" s="9" t="s">
        <v>211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211</v>
      </c>
      <c r="AD83" s="436"/>
      <c r="AE83" s="436"/>
    </row>
    <row r="84" spans="1:31" ht="18.75">
      <c r="A84" s="421">
        <v>72</v>
      </c>
      <c r="B84" s="9" t="s">
        <v>212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212</v>
      </c>
      <c r="AD84" s="436"/>
      <c r="AE84" s="436"/>
    </row>
    <row r="85" spans="1:31" ht="37.5">
      <c r="A85" s="421">
        <v>73</v>
      </c>
      <c r="B85" s="9" t="s">
        <v>213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213</v>
      </c>
      <c r="AD85" s="436"/>
      <c r="AE85" s="436"/>
    </row>
    <row r="86" spans="1:31" ht="18.75">
      <c r="A86" s="421">
        <v>74</v>
      </c>
      <c r="B86" s="9" t="s">
        <v>215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215</v>
      </c>
      <c r="AD86" s="436"/>
      <c r="AE86" s="436"/>
    </row>
    <row r="87" spans="1:31" ht="24" customHeight="1">
      <c r="A87" s="421">
        <v>75</v>
      </c>
      <c r="B87" s="9" t="s">
        <v>216</v>
      </c>
      <c r="C87" s="424">
        <v>510248.91666666698</v>
      </c>
      <c r="D87" s="423">
        <v>12</v>
      </c>
      <c r="E87" s="424">
        <f t="shared" si="81"/>
        <v>6122987</v>
      </c>
      <c r="F87" s="424">
        <f>'[10]JANUARY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216</v>
      </c>
      <c r="AD87" s="436"/>
      <c r="AE87" s="436"/>
    </row>
    <row r="88" spans="1:31" ht="18.75">
      <c r="A88" s="421">
        <v>76</v>
      </c>
      <c r="B88" s="9" t="s">
        <v>220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220</v>
      </c>
      <c r="AD88" s="436"/>
      <c r="AE88" s="436"/>
    </row>
    <row r="89" spans="1:31" ht="18.75">
      <c r="A89" s="421"/>
      <c r="B89" s="9" t="s">
        <v>224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224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226</v>
      </c>
      <c r="C92" s="424"/>
      <c r="AC92" s="436"/>
      <c r="AD92" s="436"/>
      <c r="AE92" s="436"/>
    </row>
    <row r="93" spans="1:31" ht="37.5">
      <c r="A93" s="421">
        <v>79</v>
      </c>
      <c r="B93" s="12" t="s">
        <v>227</v>
      </c>
      <c r="C93" s="424">
        <v>1452042.67</v>
      </c>
      <c r="D93" s="423">
        <v>12</v>
      </c>
      <c r="E93" s="424">
        <f>C93*D93</f>
        <v>17424512.039999999</v>
      </c>
      <c r="F93" s="424">
        <f>'[10]JANUARY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227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120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866</v>
      </c>
      <c r="AC99" s="436"/>
      <c r="AD99" s="436"/>
      <c r="AE99" s="436"/>
    </row>
    <row r="100" spans="1:31" ht="18.75">
      <c r="A100" s="421">
        <v>85</v>
      </c>
      <c r="B100" s="9" t="s">
        <v>628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628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'[10]JANUARY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'[10]JANUARY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120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164</v>
      </c>
      <c r="C110" s="424">
        <v>761396.83333333302</v>
      </c>
      <c r="D110" s="423">
        <v>12</v>
      </c>
      <c r="E110" s="424">
        <f>C110*D110</f>
        <v>9136762</v>
      </c>
      <c r="F110" s="424">
        <f>'[10]JANUARY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192</v>
      </c>
      <c r="C112" s="430">
        <v>450086.5</v>
      </c>
      <c r="D112" s="423">
        <v>12</v>
      </c>
      <c r="E112" s="424">
        <f t="shared" si="104"/>
        <v>5401038</v>
      </c>
      <c r="F112" s="424">
        <f>'[10]JANUARY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913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120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914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916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62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642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365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366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367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369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370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371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372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359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375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376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378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380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381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382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383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384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385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387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644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388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394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398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401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402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403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406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996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997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1124" t="s">
        <v>0</v>
      </c>
      <c r="B1" s="1124"/>
      <c r="C1" s="1124"/>
      <c r="D1" s="1124"/>
      <c r="E1" s="1124"/>
      <c r="F1" s="1124"/>
      <c r="G1" s="183"/>
      <c r="H1" s="183"/>
      <c r="I1" s="183"/>
    </row>
    <row r="2" spans="1:20" ht="33.75" customHeight="1">
      <c r="A2" s="61" t="s">
        <v>1109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871</v>
      </c>
      <c r="M4" s="184" t="s">
        <v>872</v>
      </c>
      <c r="N4" s="184" t="s">
        <v>15</v>
      </c>
      <c r="O4" s="22" t="s">
        <v>16</v>
      </c>
      <c r="P4" s="184" t="s">
        <v>17</v>
      </c>
      <c r="Q4" s="310" t="s">
        <v>18</v>
      </c>
      <c r="R4" s="65" t="s">
        <v>1106</v>
      </c>
      <c r="S4" s="284" t="s">
        <v>1107</v>
      </c>
    </row>
    <row r="5" spans="1:20" ht="17.25" customHeight="1">
      <c r="C5" s="6"/>
      <c r="D5" s="6"/>
      <c r="E5" s="67" t="s">
        <v>21</v>
      </c>
      <c r="F5" s="19"/>
      <c r="G5" s="67" t="s">
        <v>21</v>
      </c>
      <c r="H5" s="67" t="s">
        <v>21</v>
      </c>
      <c r="I5" s="67" t="s">
        <v>21</v>
      </c>
      <c r="J5" s="270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409" t="s">
        <v>21</v>
      </c>
      <c r="R5" s="67" t="s">
        <v>21</v>
      </c>
      <c r="S5" s="196" t="s">
        <v>21</v>
      </c>
    </row>
    <row r="6" spans="1:20" ht="20.100000000000001" customHeight="1">
      <c r="A6" s="8"/>
      <c r="B6" s="18" t="s">
        <v>226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227</v>
      </c>
      <c r="C7" s="2" t="s">
        <v>626</v>
      </c>
      <c r="D7" s="14" t="s">
        <v>36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227</v>
      </c>
      <c r="C8" s="2" t="s">
        <v>626</v>
      </c>
      <c r="D8" s="13" t="s">
        <v>577</v>
      </c>
      <c r="E8" s="70">
        <f>'[5]Annual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>
      <c r="A9" s="2"/>
      <c r="B9" s="28" t="s">
        <v>1101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1175" t="s">
        <v>0</v>
      </c>
      <c r="B1" s="1175"/>
      <c r="C1" s="1175"/>
      <c r="D1" s="1175"/>
      <c r="E1" s="1175"/>
      <c r="F1" s="1175"/>
      <c r="G1" s="1175"/>
    </row>
    <row r="2" spans="1:9" ht="20.25" customHeight="1">
      <c r="A2" s="1175" t="s">
        <v>1110</v>
      </c>
      <c r="B2" s="1175"/>
      <c r="C2" s="1175"/>
      <c r="D2" s="1175"/>
      <c r="E2" s="1175"/>
      <c r="F2" s="1175"/>
      <c r="G2" s="1175"/>
    </row>
    <row r="3" spans="1:9" ht="9.75" customHeight="1">
      <c r="A3" s="1175"/>
      <c r="B3" s="1175"/>
      <c r="C3" s="1175"/>
      <c r="D3" s="1175"/>
      <c r="E3" s="1175"/>
      <c r="F3" s="1175"/>
      <c r="G3" s="1175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1111</v>
      </c>
      <c r="F5" s="184" t="s">
        <v>1112</v>
      </c>
      <c r="G5" s="184" t="s">
        <v>1113</v>
      </c>
      <c r="H5" s="184" t="s">
        <v>1114</v>
      </c>
      <c r="I5" s="184" t="s">
        <v>1101</v>
      </c>
    </row>
    <row r="6" spans="1:9" ht="17.25" customHeight="1">
      <c r="C6" s="6"/>
      <c r="D6" s="6"/>
      <c r="E6" s="67" t="s">
        <v>21</v>
      </c>
      <c r="F6" s="67" t="s">
        <v>21</v>
      </c>
      <c r="G6" s="67" t="s">
        <v>21</v>
      </c>
      <c r="H6" s="67" t="s">
        <v>21</v>
      </c>
      <c r="I6" s="67" t="s">
        <v>21</v>
      </c>
    </row>
    <row r="7" spans="1:9" ht="20.100000000000001" customHeight="1">
      <c r="A7" s="7" t="s">
        <v>22</v>
      </c>
      <c r="B7" s="6" t="s">
        <v>23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f>'[15]NASS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302</v>
      </c>
      <c r="C12" s="2" t="s">
        <v>1115</v>
      </c>
      <c r="D12" s="8" t="s">
        <v>29</v>
      </c>
      <c r="E12" s="70">
        <f>'[15]NASS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891</v>
      </c>
      <c r="C13" s="8" t="s">
        <v>892</v>
      </c>
      <c r="D13" s="8" t="s">
        <v>29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34</v>
      </c>
      <c r="C14" s="10" t="s">
        <v>893</v>
      </c>
      <c r="D14" s="13" t="s">
        <v>39</v>
      </c>
      <c r="E14" s="70">
        <f>'[15]NASS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37</v>
      </c>
      <c r="C15" s="2" t="s">
        <v>38</v>
      </c>
      <c r="D15" s="8" t="s">
        <v>42</v>
      </c>
      <c r="E15" s="70">
        <f>'[15]NASS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40</v>
      </c>
      <c r="C16" s="2" t="s">
        <v>619</v>
      </c>
      <c r="D16" s="13" t="s">
        <v>191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43</v>
      </c>
      <c r="C17" s="15" t="s">
        <v>52</v>
      </c>
      <c r="D17" s="13" t="s">
        <v>47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45</v>
      </c>
      <c r="C18" s="2" t="s">
        <v>46</v>
      </c>
      <c r="D18" s="8" t="s">
        <v>53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48</v>
      </c>
      <c r="C19" s="2" t="s">
        <v>894</v>
      </c>
      <c r="D19" s="8" t="s">
        <v>56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51</v>
      </c>
      <c r="C20" s="10" t="s">
        <v>61</v>
      </c>
      <c r="D20" s="13" t="s">
        <v>575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54</v>
      </c>
      <c r="C21" s="2" t="s">
        <v>1116</v>
      </c>
      <c r="D21" s="13" t="s">
        <v>59</v>
      </c>
      <c r="E21" s="70">
        <f>'[15]NASS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65</v>
      </c>
      <c r="C22" s="10" t="s">
        <v>177</v>
      </c>
      <c r="D22" s="13" t="s">
        <v>70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68</v>
      </c>
      <c r="C23" s="15" t="s">
        <v>1117</v>
      </c>
      <c r="D23" s="8" t="s">
        <v>179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71</v>
      </c>
      <c r="C24" s="15" t="s">
        <v>72</v>
      </c>
      <c r="D24" s="13" t="s">
        <v>179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73</v>
      </c>
      <c r="C25" s="15" t="s">
        <v>74</v>
      </c>
      <c r="D25" s="8" t="s">
        <v>81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483</v>
      </c>
      <c r="C26" s="2" t="s">
        <v>94</v>
      </c>
      <c r="D26" s="8" t="s">
        <v>86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79</v>
      </c>
      <c r="C27" s="10" t="s">
        <v>94</v>
      </c>
      <c r="D27" s="13" t="s">
        <v>86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82</v>
      </c>
      <c r="C28" s="15" t="s">
        <v>69</v>
      </c>
      <c r="D28" s="8" t="s">
        <v>86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84</v>
      </c>
      <c r="C29" s="10" t="s">
        <v>85</v>
      </c>
      <c r="D29" s="13" t="s">
        <v>99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87</v>
      </c>
      <c r="C30" s="2" t="s">
        <v>88</v>
      </c>
      <c r="D30" s="8" t="s">
        <v>225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89</v>
      </c>
      <c r="C31" s="2" t="s">
        <v>88</v>
      </c>
      <c r="D31" s="8" t="s">
        <v>225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91</v>
      </c>
      <c r="C32" s="15" t="s">
        <v>622</v>
      </c>
      <c r="D32" s="13" t="s">
        <v>86</v>
      </c>
      <c r="E32" s="70">
        <f>'[16]NASS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95</v>
      </c>
      <c r="C33" s="2" t="s">
        <v>623</v>
      </c>
      <c r="D33" s="8" t="s">
        <v>108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103</v>
      </c>
      <c r="C34" s="10" t="s">
        <v>104</v>
      </c>
      <c r="D34" s="13" t="s">
        <v>111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120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121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122</v>
      </c>
      <c r="C38" s="2" t="s">
        <v>123</v>
      </c>
      <c r="D38" s="8" t="s">
        <v>124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127</v>
      </c>
      <c r="C39" s="2" t="s">
        <v>1118</v>
      </c>
      <c r="D39" s="8" t="s">
        <v>81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129</v>
      </c>
      <c r="C40" s="10" t="s">
        <v>1119</v>
      </c>
      <c r="D40" s="13" t="s">
        <v>75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137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895</v>
      </c>
      <c r="C44" s="2" t="s">
        <v>896</v>
      </c>
      <c r="D44" s="8" t="s">
        <v>124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897</v>
      </c>
      <c r="C45" s="2" t="s">
        <v>44</v>
      </c>
      <c r="D45" s="8" t="s">
        <v>39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138</v>
      </c>
      <c r="C46" s="2" t="s">
        <v>624</v>
      </c>
      <c r="D46" s="8" t="s">
        <v>209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141</v>
      </c>
      <c r="C47" s="2" t="s">
        <v>142</v>
      </c>
      <c r="D47" s="8" t="s">
        <v>39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143</v>
      </c>
      <c r="C48" s="2" t="s">
        <v>142</v>
      </c>
      <c r="D48" s="8" t="s">
        <v>39</v>
      </c>
      <c r="E48" s="70">
        <f>'[15]NASS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144</v>
      </c>
      <c r="C49" s="2" t="s">
        <v>142</v>
      </c>
      <c r="D49" s="8" t="s">
        <v>42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145</v>
      </c>
      <c r="C50" s="2" t="s">
        <v>52</v>
      </c>
      <c r="D50" s="14" t="s">
        <v>47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153</v>
      </c>
      <c r="C52" s="2" t="s">
        <v>150</v>
      </c>
      <c r="D52" s="8" t="s">
        <v>99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898</v>
      </c>
      <c r="C53" s="2" t="s">
        <v>150</v>
      </c>
      <c r="D53" s="8" t="s">
        <v>99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155</v>
      </c>
      <c r="C54" s="2" t="s">
        <v>150</v>
      </c>
      <c r="D54" s="8" t="s">
        <v>99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120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157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899</v>
      </c>
      <c r="C58" s="10" t="s">
        <v>159</v>
      </c>
      <c r="D58" s="13" t="s">
        <v>124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160</v>
      </c>
      <c r="C59" s="10" t="s">
        <v>161</v>
      </c>
      <c r="D59" s="13" t="s">
        <v>162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120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163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900</v>
      </c>
      <c r="C63" s="15" t="s">
        <v>901</v>
      </c>
      <c r="D63" s="8" t="s">
        <v>124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902</v>
      </c>
      <c r="C64" s="15" t="s">
        <v>903</v>
      </c>
      <c r="D64" s="13" t="s">
        <v>50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166</v>
      </c>
      <c r="C65" s="2" t="s">
        <v>52</v>
      </c>
      <c r="D65" s="8" t="s">
        <v>53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904</v>
      </c>
      <c r="C66" s="15" t="s">
        <v>217</v>
      </c>
      <c r="D66" s="13" t="s">
        <v>575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905</v>
      </c>
      <c r="C67" s="15" t="s">
        <v>52</v>
      </c>
      <c r="D67" s="13" t="s">
        <v>191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170</v>
      </c>
      <c r="C68" s="2" t="s">
        <v>150</v>
      </c>
      <c r="D68" s="8" t="s">
        <v>131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171</v>
      </c>
      <c r="C69" s="15" t="s">
        <v>72</v>
      </c>
      <c r="D69" s="8" t="s">
        <v>131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173</v>
      </c>
      <c r="C70" s="15" t="s">
        <v>72</v>
      </c>
      <c r="D70" s="8" t="s">
        <v>131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174</v>
      </c>
      <c r="C71" s="2" t="s">
        <v>625</v>
      </c>
      <c r="D71" s="8" t="s">
        <v>70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120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182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183</v>
      </c>
      <c r="C76" s="2" t="s">
        <v>184</v>
      </c>
      <c r="D76" s="8" t="s">
        <v>124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906</v>
      </c>
      <c r="C77" s="2" t="s">
        <v>907</v>
      </c>
      <c r="D77" s="13" t="s">
        <v>908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185</v>
      </c>
      <c r="C78" s="10" t="s">
        <v>909</v>
      </c>
      <c r="D78" s="8" t="s">
        <v>162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189</v>
      </c>
      <c r="C79" s="2" t="s">
        <v>190</v>
      </c>
      <c r="D79" s="13" t="s">
        <v>214</v>
      </c>
      <c r="E79" s="70">
        <f>'[15]NASS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196</v>
      </c>
      <c r="C80" s="2" t="s">
        <v>181</v>
      </c>
      <c r="D80" s="8" t="s">
        <v>78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200</v>
      </c>
      <c r="C81" s="2" t="s">
        <v>181</v>
      </c>
      <c r="D81" s="8" t="s">
        <v>99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202</v>
      </c>
      <c r="C82" s="2" t="s">
        <v>203</v>
      </c>
      <c r="D82" s="8" t="s">
        <v>111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120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204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207</v>
      </c>
      <c r="C86" s="2" t="s">
        <v>142</v>
      </c>
      <c r="D86" s="8" t="s">
        <v>39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205</v>
      </c>
      <c r="C87" s="2" t="s">
        <v>142</v>
      </c>
      <c r="D87" s="8" t="s">
        <v>39</v>
      </c>
      <c r="E87" s="70">
        <f>'[15]NASS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210</v>
      </c>
      <c r="C88" s="2" t="s">
        <v>142</v>
      </c>
      <c r="D88" s="8" t="s">
        <v>42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211</v>
      </c>
      <c r="C89" s="2" t="s">
        <v>910</v>
      </c>
      <c r="D89" s="13" t="s">
        <v>56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212</v>
      </c>
      <c r="C90" s="10" t="s">
        <v>217</v>
      </c>
      <c r="D90" s="13" t="s">
        <v>575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213</v>
      </c>
      <c r="C91" s="10" t="s">
        <v>52</v>
      </c>
      <c r="D91" s="13" t="s">
        <v>574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215</v>
      </c>
      <c r="C92" s="15" t="s">
        <v>72</v>
      </c>
      <c r="D92" s="13" t="s">
        <v>131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216</v>
      </c>
      <c r="C93" s="15" t="s">
        <v>217</v>
      </c>
      <c r="D93" s="13" t="s">
        <v>67</v>
      </c>
      <c r="E93" s="70">
        <f>'[15]NASS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220</v>
      </c>
      <c r="C94" s="2" t="s">
        <v>221</v>
      </c>
      <c r="D94" s="8" t="s">
        <v>75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224</v>
      </c>
      <c r="C95" s="15" t="s">
        <v>554</v>
      </c>
      <c r="D95" s="13" t="s">
        <v>108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120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226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227</v>
      </c>
      <c r="C99" s="2" t="s">
        <v>626</v>
      </c>
      <c r="D99" s="14" t="s">
        <v>36</v>
      </c>
      <c r="E99" s="70">
        <f>'[15]NASS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229</v>
      </c>
      <c r="C100" s="2" t="s">
        <v>230</v>
      </c>
      <c r="D100" s="13" t="s">
        <v>214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235</v>
      </c>
      <c r="C101" s="2" t="s">
        <v>627</v>
      </c>
      <c r="D101" s="13" t="s">
        <v>70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236</v>
      </c>
      <c r="C102" s="2" t="s">
        <v>199</v>
      </c>
      <c r="D102" s="13" t="s">
        <v>75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120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239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628</v>
      </c>
      <c r="C106" s="10" t="s">
        <v>241</v>
      </c>
      <c r="D106" s="13" t="s">
        <v>124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242</v>
      </c>
      <c r="C107" s="2" t="s">
        <v>243</v>
      </c>
      <c r="D107" s="14" t="s">
        <v>36</v>
      </c>
      <c r="E107" s="70">
        <f>'[15]NASS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244</v>
      </c>
      <c r="C108" s="2" t="s">
        <v>629</v>
      </c>
      <c r="D108" s="8" t="s">
        <v>56</v>
      </c>
      <c r="E108" s="70">
        <f>'[15]NASS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246</v>
      </c>
      <c r="C109" s="2" t="s">
        <v>629</v>
      </c>
      <c r="D109" s="8" t="s">
        <v>56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249</v>
      </c>
      <c r="C110" s="2" t="s">
        <v>250</v>
      </c>
      <c r="D110" s="13" t="s">
        <v>911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252</v>
      </c>
      <c r="C111" s="2" t="s">
        <v>250</v>
      </c>
      <c r="D111" s="8" t="s">
        <v>517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253</v>
      </c>
      <c r="C112" s="2" t="s">
        <v>250</v>
      </c>
      <c r="D112" s="13" t="s">
        <v>108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120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257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164</v>
      </c>
      <c r="C116" s="2" t="s">
        <v>142</v>
      </c>
      <c r="D116" s="8" t="s">
        <v>50</v>
      </c>
      <c r="E116" s="70">
        <f>'[15]NASS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259</v>
      </c>
      <c r="C117" s="2" t="s">
        <v>260</v>
      </c>
      <c r="D117" s="13" t="s">
        <v>70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192</v>
      </c>
      <c r="C118" s="10" t="s">
        <v>912</v>
      </c>
      <c r="D118" s="13" t="s">
        <v>172</v>
      </c>
      <c r="E118" s="70">
        <f>'[15]NASS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120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280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281</v>
      </c>
      <c r="C122" s="10" t="s">
        <v>282</v>
      </c>
      <c r="D122" s="13" t="s">
        <v>124</v>
      </c>
      <c r="E122" s="70">
        <f>'[15]NASS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283</v>
      </c>
      <c r="C123" s="10" t="s">
        <v>630</v>
      </c>
      <c r="D123" s="13" t="s">
        <v>209</v>
      </c>
      <c r="E123" s="70">
        <f>'[15]NASS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285</v>
      </c>
      <c r="C124" s="10" t="s">
        <v>631</v>
      </c>
      <c r="D124" s="13" t="s">
        <v>39</v>
      </c>
      <c r="E124" s="70">
        <f>'[15]NASS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913</v>
      </c>
      <c r="C125" s="10" t="s">
        <v>631</v>
      </c>
      <c r="D125" s="13" t="s">
        <v>42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288</v>
      </c>
      <c r="C126" s="10" t="s">
        <v>290</v>
      </c>
      <c r="D126" s="13" t="s">
        <v>47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289</v>
      </c>
      <c r="C127" s="10" t="s">
        <v>632</v>
      </c>
      <c r="D127" s="13" t="s">
        <v>53</v>
      </c>
      <c r="E127" s="70">
        <f>'[15]NASS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291</v>
      </c>
      <c r="C128" s="10" t="s">
        <v>290</v>
      </c>
      <c r="D128" s="13" t="s">
        <v>214</v>
      </c>
      <c r="E128" s="70">
        <f>'[15]NASS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294</v>
      </c>
      <c r="C129" s="10" t="s">
        <v>633</v>
      </c>
      <c r="D129" s="8" t="s">
        <v>86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296</v>
      </c>
      <c r="C130" s="10" t="s">
        <v>297</v>
      </c>
      <c r="D130" s="13" t="s">
        <v>111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298</v>
      </c>
      <c r="C131" s="10" t="s">
        <v>293</v>
      </c>
      <c r="D131" s="13" t="s">
        <v>111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120</v>
      </c>
      <c r="C132" s="24" t="s">
        <v>634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301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914</v>
      </c>
      <c r="C135" s="10" t="s">
        <v>915</v>
      </c>
      <c r="D135" s="13" t="s">
        <v>124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916</v>
      </c>
      <c r="C136" s="10" t="s">
        <v>917</v>
      </c>
      <c r="D136" s="13" t="s">
        <v>36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305</v>
      </c>
      <c r="C137" s="2" t="s">
        <v>306</v>
      </c>
      <c r="D137" s="14" t="s">
        <v>36</v>
      </c>
      <c r="E137" s="70">
        <f>'[15]NASS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307</v>
      </c>
      <c r="C138" s="10" t="s">
        <v>918</v>
      </c>
      <c r="D138" s="13" t="s">
        <v>191</v>
      </c>
      <c r="E138" s="70">
        <f>'[15]NASS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309</v>
      </c>
      <c r="C139" s="2" t="s">
        <v>313</v>
      </c>
      <c r="D139" s="13" t="s">
        <v>191</v>
      </c>
      <c r="E139" s="70">
        <f>'[15]NASS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311</v>
      </c>
      <c r="C140" s="2" t="s">
        <v>313</v>
      </c>
      <c r="D140" s="13" t="s">
        <v>191</v>
      </c>
      <c r="E140" s="70">
        <f>'[15]NASS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231</v>
      </c>
      <c r="C141" s="10" t="s">
        <v>919</v>
      </c>
      <c r="D141" s="13" t="s">
        <v>172</v>
      </c>
      <c r="E141" s="70">
        <f>'[15]NASS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314</v>
      </c>
      <c r="C142" s="10" t="s">
        <v>919</v>
      </c>
      <c r="D142" s="13" t="s">
        <v>172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315</v>
      </c>
      <c r="C143" s="2" t="s">
        <v>920</v>
      </c>
      <c r="D143" s="13" t="s">
        <v>172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317</v>
      </c>
      <c r="C144" s="10" t="s">
        <v>636</v>
      </c>
      <c r="D144" s="13" t="s">
        <v>70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319</v>
      </c>
      <c r="C145" s="10" t="s">
        <v>320</v>
      </c>
      <c r="D145" s="13" t="s">
        <v>131</v>
      </c>
      <c r="E145" s="70">
        <f>'[15]NASS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62</v>
      </c>
      <c r="C146" s="10" t="s">
        <v>921</v>
      </c>
      <c r="D146" s="13" t="s">
        <v>172</v>
      </c>
      <c r="E146" s="70">
        <f>'[15]NASS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321</v>
      </c>
      <c r="C147" s="2" t="s">
        <v>322</v>
      </c>
      <c r="D147" s="13" t="s">
        <v>179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323</v>
      </c>
      <c r="C148" s="2" t="s">
        <v>922</v>
      </c>
      <c r="D148" s="13" t="s">
        <v>78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324</v>
      </c>
      <c r="C149" s="2" t="s">
        <v>922</v>
      </c>
      <c r="D149" s="13" t="s">
        <v>151</v>
      </c>
      <c r="E149" s="186">
        <f>'[15]NASS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326</v>
      </c>
      <c r="C150" s="2" t="s">
        <v>922</v>
      </c>
      <c r="D150" s="13" t="s">
        <v>151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329</v>
      </c>
      <c r="C152" s="10" t="s">
        <v>330</v>
      </c>
      <c r="D152" s="8" t="s">
        <v>99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331</v>
      </c>
      <c r="C153" s="10" t="s">
        <v>637</v>
      </c>
      <c r="D153" s="13" t="s">
        <v>78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333</v>
      </c>
      <c r="C154" s="10" t="s">
        <v>638</v>
      </c>
      <c r="D154" s="13" t="s">
        <v>86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335</v>
      </c>
      <c r="C155" s="10" t="s">
        <v>639</v>
      </c>
      <c r="D155" s="13" t="s">
        <v>78</v>
      </c>
      <c r="E155" s="186">
        <f>'[15]NASS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336</v>
      </c>
      <c r="C156" s="10" t="s">
        <v>640</v>
      </c>
      <c r="D156" s="13" t="s">
        <v>86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338</v>
      </c>
      <c r="C157" s="10" t="s">
        <v>339</v>
      </c>
      <c r="D157" s="13" t="s">
        <v>225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345</v>
      </c>
      <c r="C158" s="10" t="s">
        <v>346</v>
      </c>
      <c r="D158" s="13" t="s">
        <v>111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347</v>
      </c>
      <c r="C159" s="10" t="s">
        <v>348</v>
      </c>
      <c r="D159" s="13" t="s">
        <v>111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349</v>
      </c>
      <c r="C160" s="10" t="s">
        <v>350</v>
      </c>
      <c r="D160" s="13" t="s">
        <v>111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351</v>
      </c>
      <c r="C161" s="10" t="s">
        <v>641</v>
      </c>
      <c r="D161" s="13" t="s">
        <v>108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352</v>
      </c>
      <c r="C162" s="10" t="s">
        <v>348</v>
      </c>
      <c r="D162" s="13" t="s">
        <v>111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361</v>
      </c>
      <c r="C163" s="10" t="s">
        <v>556</v>
      </c>
      <c r="D163" s="13" t="s">
        <v>386</v>
      </c>
      <c r="E163" s="192">
        <f>'[15]NASS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364</v>
      </c>
      <c r="C164" s="10" t="s">
        <v>556</v>
      </c>
      <c r="D164" s="13" t="s">
        <v>386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642</v>
      </c>
      <c r="C165" s="10" t="s">
        <v>556</v>
      </c>
      <c r="D165" s="13" t="s">
        <v>386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365</v>
      </c>
      <c r="C166" s="10" t="s">
        <v>556</v>
      </c>
      <c r="D166" s="13" t="s">
        <v>386</v>
      </c>
      <c r="E166" s="192">
        <f>'[15]NASS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366</v>
      </c>
      <c r="C167" s="10" t="s">
        <v>556</v>
      </c>
      <c r="D167" s="13" t="s">
        <v>386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367</v>
      </c>
      <c r="C168" s="10" t="s">
        <v>556</v>
      </c>
      <c r="D168" s="13" t="s">
        <v>379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369</v>
      </c>
      <c r="C169" s="10" t="s">
        <v>556</v>
      </c>
      <c r="D169" s="13" t="s">
        <v>379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370</v>
      </c>
      <c r="C170" s="10" t="s">
        <v>556</v>
      </c>
      <c r="D170" s="13" t="s">
        <v>379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371</v>
      </c>
      <c r="C171" s="10" t="s">
        <v>556</v>
      </c>
      <c r="D171" s="13" t="s">
        <v>379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372</v>
      </c>
      <c r="C172" s="10" t="s">
        <v>556</v>
      </c>
      <c r="D172" s="13" t="s">
        <v>379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359</v>
      </c>
      <c r="C173" s="10" t="s">
        <v>556</v>
      </c>
      <c r="D173" s="13" t="s">
        <v>379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373</v>
      </c>
      <c r="C174" s="10" t="s">
        <v>362</v>
      </c>
      <c r="D174" s="13" t="s">
        <v>583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375</v>
      </c>
      <c r="C175" s="10" t="s">
        <v>362</v>
      </c>
      <c r="D175" s="13" t="s">
        <v>583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376</v>
      </c>
      <c r="C176" s="10" t="s">
        <v>362</v>
      </c>
      <c r="D176" s="13" t="s">
        <v>582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378</v>
      </c>
      <c r="C177" s="10" t="s">
        <v>389</v>
      </c>
      <c r="D177" s="13" t="s">
        <v>584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380</v>
      </c>
      <c r="C178" s="10" t="s">
        <v>558</v>
      </c>
      <c r="D178" s="13" t="s">
        <v>645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381</v>
      </c>
      <c r="C179" s="10" t="s">
        <v>558</v>
      </c>
      <c r="D179" s="13" t="s">
        <v>645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382</v>
      </c>
      <c r="C180" s="10" t="s">
        <v>558</v>
      </c>
      <c r="D180" s="13" t="s">
        <v>645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383</v>
      </c>
      <c r="C181" s="10" t="s">
        <v>558</v>
      </c>
      <c r="D181" s="13" t="s">
        <v>645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384</v>
      </c>
      <c r="C182" s="10" t="s">
        <v>558</v>
      </c>
      <c r="D182" s="13" t="s">
        <v>645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385</v>
      </c>
      <c r="C183" s="10" t="s">
        <v>558</v>
      </c>
      <c r="D183" s="13" t="s">
        <v>645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387</v>
      </c>
      <c r="C184" s="10" t="s">
        <v>558</v>
      </c>
      <c r="D184" s="13" t="s">
        <v>645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644</v>
      </c>
      <c r="C185" s="10" t="s">
        <v>389</v>
      </c>
      <c r="D185" s="13" t="s">
        <v>645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388</v>
      </c>
      <c r="C186" s="10" t="s">
        <v>389</v>
      </c>
      <c r="D186" s="13" t="s">
        <v>645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360</v>
      </c>
      <c r="C187" s="10" t="s">
        <v>392</v>
      </c>
      <c r="D187" s="13" t="s">
        <v>393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394</v>
      </c>
      <c r="C188" s="10" t="s">
        <v>558</v>
      </c>
      <c r="D188" s="13" t="s">
        <v>400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398</v>
      </c>
      <c r="C189" s="10" t="s">
        <v>399</v>
      </c>
      <c r="D189" s="13" t="s">
        <v>923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401</v>
      </c>
      <c r="C190" s="10" t="s">
        <v>399</v>
      </c>
      <c r="D190" s="13" t="s">
        <v>923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402</v>
      </c>
      <c r="C191" s="10" t="s">
        <v>399</v>
      </c>
      <c r="D191" s="13" t="s">
        <v>923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403</v>
      </c>
      <c r="C192" s="10" t="s">
        <v>404</v>
      </c>
      <c r="D192" s="13" t="s">
        <v>395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406</v>
      </c>
      <c r="C193" s="10" t="s">
        <v>404</v>
      </c>
      <c r="D193" s="13" t="s">
        <v>395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120</v>
      </c>
      <c r="C194" s="26" t="s">
        <v>924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408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1120</v>
      </c>
      <c r="E1" s="564" t="s">
        <v>16</v>
      </c>
      <c r="F1" s="565"/>
      <c r="G1" s="565"/>
    </row>
    <row r="2" spans="1:7" ht="36" customHeight="1">
      <c r="A2" s="16" t="s">
        <v>103</v>
      </c>
      <c r="B2" s="10" t="s">
        <v>104</v>
      </c>
      <c r="C2" s="566" t="s">
        <v>277</v>
      </c>
      <c r="D2" s="564">
        <f>'[10]JANUARY 2024'!$R$33</f>
        <v>173329.04949999999</v>
      </c>
      <c r="E2" s="564">
        <f>'[10]JANUARY 2024'!$W$33</f>
        <v>16512.682190666699</v>
      </c>
      <c r="F2" s="565"/>
      <c r="G2" s="565"/>
    </row>
    <row r="3" spans="1:7" ht="37.5">
      <c r="A3" s="16" t="s">
        <v>103</v>
      </c>
      <c r="B3" s="10" t="s">
        <v>104</v>
      </c>
      <c r="C3" s="566" t="s">
        <v>111</v>
      </c>
      <c r="D3" s="564">
        <f>'[10]JANUARY 2024'!$R$38</f>
        <v>176816.1</v>
      </c>
      <c r="E3" s="564">
        <f>'[10]JANUARY 2024'!$W$38</f>
        <v>17042.713866666702</v>
      </c>
      <c r="F3" s="565"/>
      <c r="G3" s="565"/>
    </row>
    <row r="4" spans="1:7" ht="25.5" customHeight="1">
      <c r="A4" s="257" t="s">
        <v>866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1174" t="s">
        <v>0</v>
      </c>
      <c r="B1" s="1174"/>
      <c r="C1" s="1174"/>
      <c r="D1" s="1174"/>
      <c r="E1" s="1174"/>
    </row>
    <row r="2" spans="1:5" ht="33.75" customHeight="1">
      <c r="A2" s="563" t="s">
        <v>1121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551</v>
      </c>
    </row>
    <row r="5" spans="1:5" ht="17.25" customHeight="1">
      <c r="C5" s="6"/>
      <c r="D5" s="6"/>
      <c r="E5" s="320" t="s">
        <v>21</v>
      </c>
    </row>
    <row r="6" spans="1:5" ht="20.100000000000001" customHeight="1">
      <c r="A6" s="7" t="s">
        <v>22</v>
      </c>
      <c r="B6" s="6" t="s">
        <v>23</v>
      </c>
      <c r="C6" s="6"/>
      <c r="D6" s="6"/>
      <c r="E6" s="67"/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540000</v>
      </c>
    </row>
    <row r="8" spans="1:5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180000</v>
      </c>
    </row>
    <row r="9" spans="1:5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180000</v>
      </c>
    </row>
    <row r="10" spans="1:5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180000</v>
      </c>
    </row>
    <row r="11" spans="1:5" ht="20.100000000000001" customHeight="1">
      <c r="A11" s="8">
        <v>5</v>
      </c>
      <c r="B11" s="12" t="s">
        <v>302</v>
      </c>
      <c r="C11" s="2" t="s">
        <v>890</v>
      </c>
      <c r="D11" s="8" t="s">
        <v>29</v>
      </c>
      <c r="E11" s="70">
        <v>180000</v>
      </c>
    </row>
    <row r="12" spans="1:5" ht="20.100000000000001" customHeight="1">
      <c r="A12" s="8">
        <v>6</v>
      </c>
      <c r="B12" s="16" t="s">
        <v>891</v>
      </c>
      <c r="C12" s="8" t="s">
        <v>892</v>
      </c>
      <c r="D12" s="8" t="s">
        <v>29</v>
      </c>
      <c r="E12" s="70">
        <v>180000</v>
      </c>
    </row>
    <row r="13" spans="1:5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70">
        <v>126000</v>
      </c>
    </row>
    <row r="14" spans="1:5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70">
        <v>126000</v>
      </c>
    </row>
    <row r="15" spans="1:5" ht="20.100000000000001" customHeight="1">
      <c r="A15" s="8">
        <v>9</v>
      </c>
      <c r="B15" s="9" t="s">
        <v>40</v>
      </c>
      <c r="C15" s="2" t="s">
        <v>619</v>
      </c>
      <c r="D15" s="13" t="s">
        <v>191</v>
      </c>
      <c r="E15" s="70">
        <v>90000</v>
      </c>
    </row>
    <row r="16" spans="1:5" ht="20.100000000000001" customHeight="1">
      <c r="A16" s="8">
        <v>10</v>
      </c>
      <c r="B16" s="12" t="s">
        <v>43</v>
      </c>
      <c r="C16" s="15" t="s">
        <v>52</v>
      </c>
      <c r="D16" s="13" t="s">
        <v>47</v>
      </c>
      <c r="E16" s="70">
        <v>90000</v>
      </c>
    </row>
    <row r="17" spans="1:5" ht="20.100000000000001" customHeight="1">
      <c r="A17" s="8">
        <v>11</v>
      </c>
      <c r="B17" s="9" t="s">
        <v>45</v>
      </c>
      <c r="C17" s="2" t="s">
        <v>46</v>
      </c>
      <c r="D17" s="8" t="s">
        <v>53</v>
      </c>
      <c r="E17" s="70">
        <v>90000</v>
      </c>
    </row>
    <row r="18" spans="1:5" ht="20.100000000000001" customHeight="1">
      <c r="A18" s="8">
        <v>12</v>
      </c>
      <c r="B18" s="9" t="s">
        <v>48</v>
      </c>
      <c r="C18" s="2" t="s">
        <v>894</v>
      </c>
      <c r="D18" s="8" t="s">
        <v>56</v>
      </c>
      <c r="E18" s="70">
        <v>90000</v>
      </c>
    </row>
    <row r="19" spans="1:5" ht="20.100000000000001" customHeight="1">
      <c r="A19" s="8">
        <v>13</v>
      </c>
      <c r="B19" s="9" t="s">
        <v>51</v>
      </c>
      <c r="C19" s="10" t="s">
        <v>61</v>
      </c>
      <c r="D19" s="13" t="s">
        <v>575</v>
      </c>
      <c r="E19" s="70">
        <v>90000</v>
      </c>
    </row>
    <row r="20" spans="1:5" ht="20.100000000000001" customHeight="1">
      <c r="A20" s="8">
        <v>14</v>
      </c>
      <c r="B20" s="16" t="s">
        <v>54</v>
      </c>
      <c r="C20" s="2" t="s">
        <v>55</v>
      </c>
      <c r="D20" s="13" t="s">
        <v>59</v>
      </c>
      <c r="E20" s="70">
        <v>90000</v>
      </c>
    </row>
    <row r="21" spans="1:5" ht="18.75" customHeight="1">
      <c r="A21" s="8">
        <v>15</v>
      </c>
      <c r="B21" s="9" t="s">
        <v>65</v>
      </c>
      <c r="C21" s="10" t="s">
        <v>177</v>
      </c>
      <c r="D21" s="13" t="s">
        <v>70</v>
      </c>
      <c r="E21" s="70">
        <v>68000</v>
      </c>
    </row>
    <row r="22" spans="1:5" ht="20.100000000000001" customHeight="1">
      <c r="A22" s="8">
        <v>16</v>
      </c>
      <c r="B22" s="12" t="s">
        <v>68</v>
      </c>
      <c r="C22" s="15" t="s">
        <v>69</v>
      </c>
      <c r="D22" s="8" t="s">
        <v>179</v>
      </c>
      <c r="E22" s="70">
        <v>68000</v>
      </c>
    </row>
    <row r="23" spans="1:5" ht="21.6" customHeight="1">
      <c r="A23" s="8">
        <v>17</v>
      </c>
      <c r="B23" s="9" t="s">
        <v>71</v>
      </c>
      <c r="C23" s="15" t="s">
        <v>72</v>
      </c>
      <c r="D23" s="13" t="s">
        <v>179</v>
      </c>
      <c r="E23" s="70">
        <v>68000</v>
      </c>
    </row>
    <row r="24" spans="1:5" ht="20.100000000000001" customHeight="1">
      <c r="A24" s="8">
        <v>18</v>
      </c>
      <c r="B24" s="12" t="s">
        <v>73</v>
      </c>
      <c r="C24" s="15" t="s">
        <v>74</v>
      </c>
      <c r="D24" s="8" t="s">
        <v>81</v>
      </c>
      <c r="E24" s="70">
        <v>68000</v>
      </c>
    </row>
    <row r="25" spans="1:5" ht="18.75" customHeight="1">
      <c r="A25" s="8">
        <v>19</v>
      </c>
      <c r="B25" s="2" t="s">
        <v>483</v>
      </c>
      <c r="C25" s="2" t="s">
        <v>94</v>
      </c>
      <c r="D25" s="8" t="s">
        <v>86</v>
      </c>
      <c r="E25" s="70">
        <v>54000</v>
      </c>
    </row>
    <row r="26" spans="1:5" ht="18.75" customHeight="1">
      <c r="A26" s="8">
        <v>20</v>
      </c>
      <c r="B26" s="16" t="s">
        <v>79</v>
      </c>
      <c r="C26" s="10" t="s">
        <v>94</v>
      </c>
      <c r="D26" s="13" t="s">
        <v>86</v>
      </c>
      <c r="E26" s="70">
        <v>54000</v>
      </c>
    </row>
    <row r="27" spans="1:5" ht="20.100000000000001" customHeight="1">
      <c r="A27" s="8">
        <v>21</v>
      </c>
      <c r="B27" s="9" t="s">
        <v>82</v>
      </c>
      <c r="C27" s="15" t="s">
        <v>69</v>
      </c>
      <c r="D27" s="8" t="s">
        <v>86</v>
      </c>
      <c r="E27" s="70">
        <v>54000</v>
      </c>
    </row>
    <row r="28" spans="1:5" ht="18.75" customHeight="1">
      <c r="A28" s="8">
        <v>22</v>
      </c>
      <c r="B28" s="16" t="s">
        <v>84</v>
      </c>
      <c r="C28" s="10" t="s">
        <v>85</v>
      </c>
      <c r="D28" s="13" t="s">
        <v>99</v>
      </c>
      <c r="E28" s="70">
        <v>54000</v>
      </c>
    </row>
    <row r="29" spans="1:5" ht="18.75" customHeight="1">
      <c r="A29" s="8">
        <v>23</v>
      </c>
      <c r="B29" s="16" t="s">
        <v>87</v>
      </c>
      <c r="C29" s="2" t="s">
        <v>88</v>
      </c>
      <c r="D29" s="8" t="s">
        <v>225</v>
      </c>
      <c r="E29" s="70">
        <v>54000</v>
      </c>
    </row>
    <row r="30" spans="1:5" ht="18.75" customHeight="1">
      <c r="A30" s="8">
        <v>24</v>
      </c>
      <c r="B30" s="16" t="s">
        <v>89</v>
      </c>
      <c r="C30" s="2" t="s">
        <v>88</v>
      </c>
      <c r="D30" s="8" t="s">
        <v>225</v>
      </c>
      <c r="E30" s="70">
        <v>54000</v>
      </c>
    </row>
    <row r="31" spans="1:5" ht="18.75" customHeight="1">
      <c r="A31" s="8">
        <v>25</v>
      </c>
      <c r="B31" s="16" t="s">
        <v>91</v>
      </c>
      <c r="C31" s="15" t="s">
        <v>622</v>
      </c>
      <c r="D31" s="13" t="s">
        <v>86</v>
      </c>
      <c r="E31" s="70">
        <v>54000</v>
      </c>
    </row>
    <row r="32" spans="1:5" ht="18.75" customHeight="1">
      <c r="A32" s="8">
        <v>26</v>
      </c>
      <c r="B32" s="16" t="s">
        <v>95</v>
      </c>
      <c r="C32" s="2" t="s">
        <v>623</v>
      </c>
      <c r="D32" s="8" t="s">
        <v>108</v>
      </c>
      <c r="E32" s="70">
        <v>54000</v>
      </c>
    </row>
    <row r="33" spans="1:5" ht="18.75" customHeight="1">
      <c r="A33" s="8">
        <v>27</v>
      </c>
      <c r="B33" s="16" t="s">
        <v>103</v>
      </c>
      <c r="C33" s="10" t="s">
        <v>104</v>
      </c>
      <c r="D33" s="13" t="s">
        <v>111</v>
      </c>
      <c r="E33" s="70">
        <v>54000</v>
      </c>
    </row>
    <row r="34" spans="1:5" ht="26.25" customHeight="1">
      <c r="A34" s="8"/>
      <c r="B34" s="18" t="s">
        <v>120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121</v>
      </c>
      <c r="C36" s="2"/>
      <c r="D36" s="13"/>
      <c r="E36" s="70"/>
    </row>
    <row r="37" spans="1:5" ht="18.75" customHeight="1">
      <c r="A37" s="8">
        <v>1</v>
      </c>
      <c r="B37" s="16" t="s">
        <v>122</v>
      </c>
      <c r="C37" s="2" t="s">
        <v>123</v>
      </c>
      <c r="D37" s="8" t="s">
        <v>124</v>
      </c>
      <c r="E37" s="70">
        <v>270000</v>
      </c>
    </row>
    <row r="38" spans="1:5" ht="18.75" customHeight="1">
      <c r="A38" s="8">
        <v>2</v>
      </c>
      <c r="B38" s="16" t="s">
        <v>127</v>
      </c>
      <c r="C38" s="2" t="s">
        <v>1122</v>
      </c>
      <c r="D38" s="8" t="s">
        <v>81</v>
      </c>
      <c r="E38" s="70">
        <v>68000</v>
      </c>
    </row>
    <row r="39" spans="1:5" ht="18.75" customHeight="1">
      <c r="A39" s="8">
        <v>3</v>
      </c>
      <c r="B39" s="9" t="s">
        <v>129</v>
      </c>
      <c r="C39" s="10" t="s">
        <v>1119</v>
      </c>
      <c r="D39" s="13" t="s">
        <v>75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137</v>
      </c>
      <c r="C42" s="3"/>
      <c r="D42" s="22"/>
      <c r="E42" s="187"/>
    </row>
    <row r="43" spans="1:5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70">
        <v>270000</v>
      </c>
    </row>
    <row r="44" spans="1:5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70">
        <v>126000</v>
      </c>
    </row>
    <row r="45" spans="1:5" ht="20.100000000000001" customHeight="1">
      <c r="A45" s="8">
        <v>3</v>
      </c>
      <c r="B45" s="9" t="s">
        <v>138</v>
      </c>
      <c r="C45" s="2" t="s">
        <v>624</v>
      </c>
      <c r="D45" s="8" t="s">
        <v>209</v>
      </c>
      <c r="E45" s="70">
        <v>180000</v>
      </c>
    </row>
    <row r="46" spans="1:5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70">
        <v>126000</v>
      </c>
    </row>
    <row r="47" spans="1:5" ht="20.100000000000001" customHeight="1">
      <c r="A47" s="8">
        <v>5</v>
      </c>
      <c r="B47" s="9" t="s">
        <v>143</v>
      </c>
      <c r="C47" s="2" t="s">
        <v>142</v>
      </c>
      <c r="D47" s="8" t="s">
        <v>39</v>
      </c>
      <c r="E47" s="70">
        <v>126000</v>
      </c>
    </row>
    <row r="48" spans="1:5" ht="20.100000000000001" customHeight="1">
      <c r="A48" s="8">
        <v>6</v>
      </c>
      <c r="B48" s="9" t="s">
        <v>144</v>
      </c>
      <c r="C48" s="2" t="s">
        <v>142</v>
      </c>
      <c r="D48" s="8" t="s">
        <v>42</v>
      </c>
      <c r="E48" s="70">
        <v>126000</v>
      </c>
    </row>
    <row r="49" spans="1:5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70">
        <v>90000</v>
      </c>
    </row>
    <row r="50" spans="1:5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68000</v>
      </c>
    </row>
    <row r="51" spans="1:5" ht="20.100000000000001" customHeight="1">
      <c r="A51" s="8">
        <v>9</v>
      </c>
      <c r="B51" s="9" t="s">
        <v>153</v>
      </c>
      <c r="C51" s="2" t="s">
        <v>150</v>
      </c>
      <c r="D51" s="8" t="s">
        <v>99</v>
      </c>
      <c r="E51" s="70">
        <v>54000</v>
      </c>
    </row>
    <row r="52" spans="1:5" ht="20.100000000000001" customHeight="1">
      <c r="A52" s="8">
        <v>10</v>
      </c>
      <c r="B52" s="9" t="s">
        <v>898</v>
      </c>
      <c r="C52" s="2" t="s">
        <v>150</v>
      </c>
      <c r="D52" s="8" t="s">
        <v>99</v>
      </c>
      <c r="E52" s="70">
        <v>54000</v>
      </c>
    </row>
    <row r="53" spans="1:5" ht="20.100000000000001" customHeight="1">
      <c r="A53" s="8">
        <v>11</v>
      </c>
      <c r="B53" s="9" t="s">
        <v>155</v>
      </c>
      <c r="C53" s="2" t="s">
        <v>150</v>
      </c>
      <c r="D53" s="8" t="s">
        <v>99</v>
      </c>
      <c r="E53" s="70">
        <v>54000</v>
      </c>
    </row>
    <row r="54" spans="1:5" ht="25.5" customHeight="1">
      <c r="A54" s="8"/>
      <c r="B54" s="18" t="s">
        <v>120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157</v>
      </c>
      <c r="C56" s="19"/>
      <c r="D56" s="19"/>
      <c r="E56" s="122"/>
    </row>
    <row r="57" spans="1:5" ht="20.100000000000001" customHeight="1">
      <c r="A57" s="8">
        <v>1</v>
      </c>
      <c r="B57" s="9" t="s">
        <v>899</v>
      </c>
      <c r="C57" s="10" t="s">
        <v>159</v>
      </c>
      <c r="D57" s="13" t="s">
        <v>124</v>
      </c>
      <c r="E57" s="70">
        <v>270000</v>
      </c>
    </row>
    <row r="58" spans="1:5" ht="20.100000000000001" customHeight="1">
      <c r="A58" s="8">
        <v>2</v>
      </c>
      <c r="B58" s="9" t="s">
        <v>160</v>
      </c>
      <c r="C58" s="10" t="s">
        <v>161</v>
      </c>
      <c r="D58" s="13" t="s">
        <v>162</v>
      </c>
      <c r="E58" s="70">
        <v>126000</v>
      </c>
    </row>
    <row r="59" spans="1:5" ht="20.100000000000001" customHeight="1">
      <c r="A59" s="8"/>
      <c r="B59" s="18" t="s">
        <v>120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163</v>
      </c>
      <c r="C61" s="19"/>
      <c r="D61" s="19"/>
      <c r="E61" s="122"/>
    </row>
    <row r="62" spans="1:5" ht="20.100000000000001" customHeight="1">
      <c r="A62" s="8">
        <v>1</v>
      </c>
      <c r="B62" s="9" t="s">
        <v>900</v>
      </c>
      <c r="C62" s="15" t="s">
        <v>901</v>
      </c>
      <c r="D62" s="8" t="s">
        <v>124</v>
      </c>
      <c r="E62" s="70">
        <v>270000</v>
      </c>
    </row>
    <row r="63" spans="1:5" ht="20.100000000000001" customHeight="1">
      <c r="A63" s="8">
        <v>2</v>
      </c>
      <c r="B63" s="313" t="s">
        <v>902</v>
      </c>
      <c r="C63" s="15" t="s">
        <v>903</v>
      </c>
      <c r="D63" s="13" t="s">
        <v>50</v>
      </c>
      <c r="E63" s="70">
        <v>126000</v>
      </c>
    </row>
    <row r="64" spans="1:5" ht="20.100000000000001" customHeight="1">
      <c r="A64" s="8">
        <v>3</v>
      </c>
      <c r="B64" s="9" t="s">
        <v>166</v>
      </c>
      <c r="C64" s="2" t="s">
        <v>52</v>
      </c>
      <c r="D64" s="8" t="s">
        <v>53</v>
      </c>
      <c r="E64" s="70">
        <v>90000</v>
      </c>
    </row>
    <row r="65" spans="1:5" ht="20.100000000000001" customHeight="1">
      <c r="A65" s="8">
        <v>4</v>
      </c>
      <c r="B65" s="16" t="s">
        <v>904</v>
      </c>
      <c r="C65" s="15" t="s">
        <v>217</v>
      </c>
      <c r="D65" s="13" t="s">
        <v>575</v>
      </c>
      <c r="E65" s="70">
        <v>90000</v>
      </c>
    </row>
    <row r="66" spans="1:5" ht="20.100000000000001" customHeight="1">
      <c r="A66" s="8">
        <v>5</v>
      </c>
      <c r="B66" s="12" t="s">
        <v>905</v>
      </c>
      <c r="C66" s="15" t="s">
        <v>52</v>
      </c>
      <c r="D66" s="13" t="s">
        <v>191</v>
      </c>
      <c r="E66" s="70">
        <v>90000</v>
      </c>
    </row>
    <row r="67" spans="1:5" ht="20.100000000000001" customHeight="1">
      <c r="A67" s="8">
        <v>7</v>
      </c>
      <c r="B67" s="9" t="s">
        <v>170</v>
      </c>
      <c r="C67" s="2" t="s">
        <v>150</v>
      </c>
      <c r="D67" s="8" t="s">
        <v>131</v>
      </c>
      <c r="E67" s="70">
        <v>68000</v>
      </c>
    </row>
    <row r="68" spans="1:5" ht="20.100000000000001" customHeight="1">
      <c r="A68" s="8">
        <v>8</v>
      </c>
      <c r="B68" s="9" t="s">
        <v>171</v>
      </c>
      <c r="C68" s="15" t="s">
        <v>72</v>
      </c>
      <c r="D68" s="8" t="s">
        <v>131</v>
      </c>
      <c r="E68" s="70">
        <v>68000</v>
      </c>
    </row>
    <row r="69" spans="1:5" ht="20.100000000000001" customHeight="1">
      <c r="A69" s="8">
        <v>9</v>
      </c>
      <c r="B69" s="9" t="s">
        <v>173</v>
      </c>
      <c r="C69" s="15" t="s">
        <v>72</v>
      </c>
      <c r="D69" s="8" t="s">
        <v>131</v>
      </c>
      <c r="E69" s="70">
        <v>68000</v>
      </c>
    </row>
    <row r="70" spans="1:5" ht="20.100000000000001" customHeight="1">
      <c r="A70" s="8">
        <v>10</v>
      </c>
      <c r="B70" s="9" t="s">
        <v>174</v>
      </c>
      <c r="C70" s="2" t="s">
        <v>625</v>
      </c>
      <c r="D70" s="8" t="s">
        <v>70</v>
      </c>
      <c r="E70" s="70">
        <v>68000</v>
      </c>
    </row>
    <row r="71" spans="1:5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70">
        <v>68000</v>
      </c>
    </row>
    <row r="72" spans="1:5" ht="27" customHeight="1">
      <c r="A72" s="8"/>
      <c r="B72" s="18" t="s">
        <v>120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182</v>
      </c>
      <c r="C74" s="19"/>
      <c r="D74" s="19"/>
      <c r="E74" s="122"/>
    </row>
    <row r="75" spans="1:5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270000</v>
      </c>
    </row>
    <row r="76" spans="1:5" ht="20.100000000000001" customHeight="1">
      <c r="A76" s="8">
        <v>2</v>
      </c>
      <c r="B76" s="12" t="s">
        <v>906</v>
      </c>
      <c r="C76" s="2" t="s">
        <v>907</v>
      </c>
      <c r="D76" s="13" t="s">
        <v>908</v>
      </c>
      <c r="E76" s="70">
        <v>126000</v>
      </c>
    </row>
    <row r="77" spans="1:5" ht="20.100000000000001" customHeight="1">
      <c r="A77" s="8">
        <v>3</v>
      </c>
      <c r="B77" s="16" t="s">
        <v>185</v>
      </c>
      <c r="C77" s="10" t="s">
        <v>909</v>
      </c>
      <c r="D77" s="8" t="s">
        <v>162</v>
      </c>
      <c r="E77" s="70">
        <v>126000</v>
      </c>
    </row>
    <row r="78" spans="1:5" ht="20.100000000000001" customHeight="1">
      <c r="A78" s="8">
        <v>4</v>
      </c>
      <c r="B78" s="9" t="s">
        <v>189</v>
      </c>
      <c r="C78" s="2" t="s">
        <v>190</v>
      </c>
      <c r="D78" s="13" t="s">
        <v>214</v>
      </c>
      <c r="E78" s="70">
        <v>90000</v>
      </c>
    </row>
    <row r="79" spans="1:5" ht="20.100000000000001" customHeight="1">
      <c r="A79" s="8">
        <v>5</v>
      </c>
      <c r="B79" s="9" t="s">
        <v>196</v>
      </c>
      <c r="C79" s="2" t="s">
        <v>181</v>
      </c>
      <c r="D79" s="8" t="s">
        <v>78</v>
      </c>
      <c r="E79" s="70">
        <v>68000</v>
      </c>
    </row>
    <row r="80" spans="1:5" ht="20.100000000000001" customHeight="1">
      <c r="A80" s="8">
        <v>6</v>
      </c>
      <c r="B80" s="9" t="s">
        <v>200</v>
      </c>
      <c r="C80" s="2" t="s">
        <v>181</v>
      </c>
      <c r="D80" s="8" t="s">
        <v>99</v>
      </c>
      <c r="E80" s="70">
        <v>54000</v>
      </c>
    </row>
    <row r="81" spans="1:5" ht="20.100000000000001" customHeight="1">
      <c r="A81" s="8">
        <v>7</v>
      </c>
      <c r="B81" s="9" t="s">
        <v>202</v>
      </c>
      <c r="C81" s="2" t="s">
        <v>203</v>
      </c>
      <c r="D81" s="8" t="s">
        <v>111</v>
      </c>
      <c r="E81" s="70">
        <v>54000</v>
      </c>
    </row>
    <row r="82" spans="1:5" ht="20.100000000000001" customHeight="1">
      <c r="A82" s="8"/>
      <c r="B82" s="18" t="s">
        <v>120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204</v>
      </c>
      <c r="C84" s="23"/>
      <c r="D84" s="19"/>
      <c r="E84" s="122"/>
    </row>
    <row r="85" spans="1:5" ht="20.100000000000001" customHeight="1">
      <c r="A85" s="8">
        <v>1</v>
      </c>
      <c r="B85" s="9" t="s">
        <v>207</v>
      </c>
      <c r="C85" s="2" t="s">
        <v>142</v>
      </c>
      <c r="D85" s="8" t="s">
        <v>39</v>
      </c>
      <c r="E85" s="70">
        <v>126000</v>
      </c>
    </row>
    <row r="86" spans="1:5" ht="20.100000000000001" customHeight="1">
      <c r="A86" s="8">
        <v>2</v>
      </c>
      <c r="B86" s="9" t="s">
        <v>205</v>
      </c>
      <c r="C86" s="2" t="s">
        <v>142</v>
      </c>
      <c r="D86" s="8" t="s">
        <v>39</v>
      </c>
      <c r="E86" s="70">
        <v>126000</v>
      </c>
    </row>
    <row r="87" spans="1:5" ht="20.100000000000001" customHeight="1">
      <c r="A87" s="8">
        <v>3</v>
      </c>
      <c r="B87" s="9" t="s">
        <v>210</v>
      </c>
      <c r="C87" s="2" t="s">
        <v>142</v>
      </c>
      <c r="D87" s="8" t="s">
        <v>42</v>
      </c>
      <c r="E87" s="70">
        <v>126000</v>
      </c>
    </row>
    <row r="88" spans="1:5" ht="21.6" customHeight="1">
      <c r="A88" s="8">
        <v>4</v>
      </c>
      <c r="B88" s="9" t="s">
        <v>211</v>
      </c>
      <c r="C88" s="2" t="s">
        <v>910</v>
      </c>
      <c r="D88" s="13" t="s">
        <v>56</v>
      </c>
      <c r="E88" s="70">
        <v>90000</v>
      </c>
    </row>
    <row r="89" spans="1:5" ht="21.6" customHeight="1">
      <c r="A89" s="8">
        <v>5</v>
      </c>
      <c r="B89" s="9" t="s">
        <v>212</v>
      </c>
      <c r="C89" s="10" t="s">
        <v>217</v>
      </c>
      <c r="D89" s="13" t="s">
        <v>575</v>
      </c>
      <c r="E89" s="70">
        <v>90000</v>
      </c>
    </row>
    <row r="90" spans="1:5" ht="21.6" customHeight="1">
      <c r="A90" s="8">
        <v>6</v>
      </c>
      <c r="B90" s="9" t="s">
        <v>213</v>
      </c>
      <c r="C90" s="10" t="s">
        <v>52</v>
      </c>
      <c r="D90" s="13" t="s">
        <v>574</v>
      </c>
      <c r="E90" s="70">
        <v>90000</v>
      </c>
    </row>
    <row r="91" spans="1:5" ht="21.6" customHeight="1">
      <c r="A91" s="8">
        <v>7</v>
      </c>
      <c r="B91" s="9" t="s">
        <v>215</v>
      </c>
      <c r="C91" s="15" t="s">
        <v>72</v>
      </c>
      <c r="D91" s="13" t="s">
        <v>131</v>
      </c>
      <c r="E91" s="70">
        <v>68000</v>
      </c>
    </row>
    <row r="92" spans="1:5" ht="21.6" customHeight="1">
      <c r="A92" s="8">
        <v>8</v>
      </c>
      <c r="B92" s="9" t="s">
        <v>216</v>
      </c>
      <c r="C92" s="15" t="s">
        <v>217</v>
      </c>
      <c r="D92" s="13" t="s">
        <v>67</v>
      </c>
      <c r="E92" s="70">
        <v>90000</v>
      </c>
    </row>
    <row r="93" spans="1:5" ht="21.6" customHeight="1">
      <c r="A93" s="8">
        <v>9</v>
      </c>
      <c r="B93" s="9" t="s">
        <v>220</v>
      </c>
      <c r="C93" s="2" t="s">
        <v>221</v>
      </c>
      <c r="D93" s="8" t="s">
        <v>75</v>
      </c>
      <c r="E93" s="186">
        <v>66000</v>
      </c>
    </row>
    <row r="94" spans="1:5" ht="21.6" customHeight="1">
      <c r="A94" s="8">
        <v>10</v>
      </c>
      <c r="B94" s="9" t="s">
        <v>224</v>
      </c>
      <c r="C94" s="15" t="s">
        <v>554</v>
      </c>
      <c r="D94" s="13" t="s">
        <v>108</v>
      </c>
      <c r="E94" s="186">
        <v>54000</v>
      </c>
    </row>
    <row r="95" spans="1:5" ht="20.100000000000001" customHeight="1">
      <c r="A95" s="8"/>
      <c r="B95" s="18" t="s">
        <v>120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226</v>
      </c>
      <c r="C97" s="19"/>
      <c r="D97" s="19"/>
      <c r="E97" s="122"/>
    </row>
    <row r="98" spans="1:5" ht="20.100000000000001" customHeight="1">
      <c r="A98" s="8">
        <v>1</v>
      </c>
      <c r="B98" s="12" t="s">
        <v>227</v>
      </c>
      <c r="C98" s="2" t="s">
        <v>626</v>
      </c>
      <c r="D98" s="14" t="s">
        <v>577</v>
      </c>
      <c r="E98" s="70">
        <v>270000</v>
      </c>
    </row>
    <row r="99" spans="1:5" ht="20.100000000000001" customHeight="1">
      <c r="A99" s="8">
        <v>2</v>
      </c>
      <c r="B99" s="9" t="s">
        <v>229</v>
      </c>
      <c r="C99" s="2" t="s">
        <v>230</v>
      </c>
      <c r="D99" s="13" t="s">
        <v>214</v>
      </c>
      <c r="E99" s="70">
        <v>90000</v>
      </c>
    </row>
    <row r="100" spans="1:5" ht="20.100000000000001" customHeight="1">
      <c r="A100" s="8">
        <v>3</v>
      </c>
      <c r="B100" s="9" t="s">
        <v>235</v>
      </c>
      <c r="C100" s="2" t="s">
        <v>627</v>
      </c>
      <c r="D100" s="13" t="s">
        <v>70</v>
      </c>
      <c r="E100" s="70">
        <v>68000</v>
      </c>
    </row>
    <row r="101" spans="1:5" ht="20.100000000000001" customHeight="1">
      <c r="A101" s="8">
        <v>4</v>
      </c>
      <c r="B101" s="9" t="s">
        <v>236</v>
      </c>
      <c r="C101" s="2" t="s">
        <v>199</v>
      </c>
      <c r="D101" s="13" t="s">
        <v>75</v>
      </c>
      <c r="E101" s="70">
        <v>68000</v>
      </c>
    </row>
    <row r="102" spans="1:5" ht="20.100000000000001" customHeight="1">
      <c r="A102" s="2"/>
      <c r="B102" s="18" t="s">
        <v>120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239</v>
      </c>
      <c r="C104" s="2"/>
      <c r="D104" s="2"/>
      <c r="E104" s="2"/>
    </row>
    <row r="105" spans="1:5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270000</v>
      </c>
    </row>
    <row r="106" spans="1:5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180000</v>
      </c>
    </row>
    <row r="107" spans="1:5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90000</v>
      </c>
    </row>
    <row r="108" spans="1:5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90000</v>
      </c>
    </row>
    <row r="109" spans="1:5" ht="20.100000000000001" customHeight="1">
      <c r="A109" s="2">
        <v>5</v>
      </c>
      <c r="B109" s="9" t="s">
        <v>249</v>
      </c>
      <c r="C109" s="2" t="s">
        <v>250</v>
      </c>
      <c r="D109" s="13" t="s">
        <v>911</v>
      </c>
      <c r="E109" s="186">
        <v>54000</v>
      </c>
    </row>
    <row r="110" spans="1:5" ht="20.100000000000001" customHeight="1">
      <c r="A110" s="2">
        <v>6</v>
      </c>
      <c r="B110" s="16" t="s">
        <v>252</v>
      </c>
      <c r="C110" s="2" t="s">
        <v>250</v>
      </c>
      <c r="D110" s="8" t="s">
        <v>517</v>
      </c>
      <c r="E110" s="186">
        <v>54000</v>
      </c>
    </row>
    <row r="111" spans="1:5" ht="20.100000000000001" customHeight="1">
      <c r="A111" s="2">
        <v>7</v>
      </c>
      <c r="B111" s="16" t="s">
        <v>253</v>
      </c>
      <c r="C111" s="2" t="s">
        <v>250</v>
      </c>
      <c r="D111" s="13" t="s">
        <v>108</v>
      </c>
      <c r="E111" s="186">
        <v>54000</v>
      </c>
    </row>
    <row r="112" spans="1:5" ht="25.5" customHeight="1">
      <c r="A112" s="2"/>
      <c r="B112" s="18" t="s">
        <v>120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257</v>
      </c>
      <c r="C114" s="19"/>
      <c r="D114" s="19"/>
      <c r="E114" s="122"/>
    </row>
    <row r="115" spans="1:5" ht="20.100000000000001" customHeight="1">
      <c r="A115" s="8">
        <v>1</v>
      </c>
      <c r="B115" s="12" t="s">
        <v>164</v>
      </c>
      <c r="C115" s="2" t="s">
        <v>142</v>
      </c>
      <c r="D115" s="8" t="s">
        <v>50</v>
      </c>
      <c r="E115" s="70">
        <v>126000</v>
      </c>
    </row>
    <row r="116" spans="1:5" ht="18.75" customHeight="1">
      <c r="A116" s="8">
        <v>2</v>
      </c>
      <c r="B116" s="9" t="s">
        <v>259</v>
      </c>
      <c r="C116" s="2" t="s">
        <v>260</v>
      </c>
      <c r="D116" s="13" t="s">
        <v>70</v>
      </c>
      <c r="E116" s="70">
        <v>68000</v>
      </c>
    </row>
    <row r="117" spans="1:5" ht="20.100000000000001" customHeight="1">
      <c r="A117" s="8">
        <v>3</v>
      </c>
      <c r="B117" s="9" t="s">
        <v>192</v>
      </c>
      <c r="C117" s="10" t="s">
        <v>912</v>
      </c>
      <c r="D117" s="13" t="s">
        <v>172</v>
      </c>
      <c r="E117" s="70">
        <v>68000</v>
      </c>
    </row>
    <row r="118" spans="1:5" ht="24.75" customHeight="1">
      <c r="A118" s="2"/>
      <c r="B118" s="18" t="s">
        <v>120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280</v>
      </c>
      <c r="C120" s="19"/>
      <c r="D120" s="19"/>
      <c r="E120" s="122"/>
    </row>
    <row r="121" spans="1:5" ht="20.100000000000001" customHeight="1">
      <c r="A121" s="2">
        <v>1</v>
      </c>
      <c r="B121" s="9" t="s">
        <v>281</v>
      </c>
      <c r="C121" s="10" t="s">
        <v>282</v>
      </c>
      <c r="D121" s="13" t="s">
        <v>124</v>
      </c>
      <c r="E121" s="70">
        <v>270000</v>
      </c>
    </row>
    <row r="122" spans="1:5" ht="20.100000000000001" customHeight="1">
      <c r="A122" s="2">
        <v>2</v>
      </c>
      <c r="B122" s="9" t="s">
        <v>283</v>
      </c>
      <c r="C122" s="10" t="s">
        <v>630</v>
      </c>
      <c r="D122" s="13" t="s">
        <v>209</v>
      </c>
      <c r="E122" s="70">
        <v>180000</v>
      </c>
    </row>
    <row r="123" spans="1:5" ht="20.100000000000001" customHeight="1">
      <c r="A123" s="2">
        <v>3</v>
      </c>
      <c r="B123" s="12" t="s">
        <v>285</v>
      </c>
      <c r="C123" s="10" t="s">
        <v>631</v>
      </c>
      <c r="D123" s="13" t="s">
        <v>39</v>
      </c>
      <c r="E123" s="70">
        <v>126000</v>
      </c>
    </row>
    <row r="124" spans="1:5" ht="20.100000000000001" customHeight="1">
      <c r="A124" s="2">
        <v>4</v>
      </c>
      <c r="B124" s="12" t="s">
        <v>913</v>
      </c>
      <c r="C124" s="10" t="s">
        <v>631</v>
      </c>
      <c r="D124" s="13" t="s">
        <v>42</v>
      </c>
      <c r="E124" s="70">
        <v>126000</v>
      </c>
    </row>
    <row r="125" spans="1:5" ht="20.100000000000001" customHeight="1">
      <c r="A125" s="2">
        <v>5</v>
      </c>
      <c r="B125" s="9" t="s">
        <v>288</v>
      </c>
      <c r="C125" s="10" t="s">
        <v>290</v>
      </c>
      <c r="D125" s="13" t="s">
        <v>47</v>
      </c>
      <c r="E125" s="70">
        <v>90000</v>
      </c>
    </row>
    <row r="126" spans="1:5" ht="20.100000000000001" customHeight="1">
      <c r="A126" s="2">
        <v>6</v>
      </c>
      <c r="B126" s="9" t="s">
        <v>289</v>
      </c>
      <c r="C126" s="10" t="s">
        <v>632</v>
      </c>
      <c r="D126" s="13" t="s">
        <v>53</v>
      </c>
      <c r="E126" s="70">
        <v>90000</v>
      </c>
    </row>
    <row r="127" spans="1:5" ht="20.100000000000001" customHeight="1">
      <c r="A127" s="2">
        <v>7</v>
      </c>
      <c r="B127" s="9" t="s">
        <v>291</v>
      </c>
      <c r="C127" s="10" t="s">
        <v>290</v>
      </c>
      <c r="D127" s="13" t="s">
        <v>214</v>
      </c>
      <c r="E127" s="70">
        <v>90000</v>
      </c>
    </row>
    <row r="128" spans="1:5" ht="20.100000000000001" customHeight="1">
      <c r="A128" s="2">
        <v>8</v>
      </c>
      <c r="B128" s="9" t="s">
        <v>294</v>
      </c>
      <c r="C128" s="10" t="s">
        <v>633</v>
      </c>
      <c r="D128" s="8" t="s">
        <v>86</v>
      </c>
      <c r="E128" s="70">
        <v>54000</v>
      </c>
    </row>
    <row r="129" spans="1:5" ht="20.100000000000001" customHeight="1">
      <c r="A129" s="2">
        <v>9</v>
      </c>
      <c r="B129" s="16" t="s">
        <v>296</v>
      </c>
      <c r="C129" s="10" t="s">
        <v>297</v>
      </c>
      <c r="D129" s="13" t="s">
        <v>111</v>
      </c>
      <c r="E129" s="70">
        <v>54000</v>
      </c>
    </row>
    <row r="130" spans="1:5" ht="20.100000000000001" customHeight="1">
      <c r="A130" s="2">
        <v>10</v>
      </c>
      <c r="B130" s="16" t="s">
        <v>298</v>
      </c>
      <c r="C130" s="10" t="s">
        <v>293</v>
      </c>
      <c r="D130" s="13" t="s">
        <v>111</v>
      </c>
      <c r="E130" s="70">
        <v>54000</v>
      </c>
    </row>
    <row r="131" spans="1:5" ht="28.5" customHeight="1">
      <c r="A131" s="2"/>
      <c r="B131" s="18" t="s">
        <v>120</v>
      </c>
      <c r="C131" s="24" t="s">
        <v>634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301</v>
      </c>
      <c r="C133" s="10"/>
      <c r="D133" s="13"/>
      <c r="E133" s="70"/>
    </row>
    <row r="134" spans="1:5" ht="20.100000000000001" customHeight="1">
      <c r="A134" s="25">
        <v>1</v>
      </c>
      <c r="B134" s="9" t="s">
        <v>914</v>
      </c>
      <c r="C134" s="10" t="s">
        <v>915</v>
      </c>
      <c r="D134" s="13" t="s">
        <v>124</v>
      </c>
      <c r="E134" s="70">
        <v>270000</v>
      </c>
    </row>
    <row r="135" spans="1:5" ht="20.100000000000001" customHeight="1">
      <c r="A135" s="25">
        <v>2</v>
      </c>
      <c r="B135" s="9" t="s">
        <v>916</v>
      </c>
      <c r="C135" s="10" t="s">
        <v>917</v>
      </c>
      <c r="D135" s="13" t="s">
        <v>36</v>
      </c>
      <c r="E135" s="70">
        <v>180000</v>
      </c>
    </row>
    <row r="136" spans="1:5" ht="20.100000000000001" customHeight="1">
      <c r="A136" s="25">
        <v>3</v>
      </c>
      <c r="B136" s="12" t="s">
        <v>305</v>
      </c>
      <c r="C136" s="2" t="s">
        <v>306</v>
      </c>
      <c r="D136" s="14" t="s">
        <v>36</v>
      </c>
      <c r="E136" s="70">
        <v>180000</v>
      </c>
    </row>
    <row r="137" spans="1:5" ht="20.100000000000001" customHeight="1">
      <c r="A137" s="25">
        <v>4</v>
      </c>
      <c r="B137" s="9" t="s">
        <v>307</v>
      </c>
      <c r="C137" s="10" t="s">
        <v>918</v>
      </c>
      <c r="D137" s="13" t="s">
        <v>191</v>
      </c>
      <c r="E137" s="70">
        <v>90000</v>
      </c>
    </row>
    <row r="138" spans="1:5" ht="20.100000000000001" customHeight="1">
      <c r="A138" s="25">
        <v>5</v>
      </c>
      <c r="B138" s="9" t="s">
        <v>309</v>
      </c>
      <c r="C138" s="2" t="s">
        <v>313</v>
      </c>
      <c r="D138" s="13" t="s">
        <v>191</v>
      </c>
      <c r="E138" s="70">
        <v>90000</v>
      </c>
    </row>
    <row r="139" spans="1:5" ht="20.100000000000001" customHeight="1">
      <c r="A139" s="25">
        <v>6</v>
      </c>
      <c r="B139" s="9" t="s">
        <v>311</v>
      </c>
      <c r="C139" s="2" t="s">
        <v>313</v>
      </c>
      <c r="D139" s="13" t="s">
        <v>191</v>
      </c>
      <c r="E139" s="70">
        <v>90000</v>
      </c>
    </row>
    <row r="140" spans="1:5" ht="20.100000000000001" customHeight="1">
      <c r="A140" s="25">
        <v>7</v>
      </c>
      <c r="B140" s="9" t="s">
        <v>231</v>
      </c>
      <c r="C140" s="10" t="s">
        <v>919</v>
      </c>
      <c r="D140" s="13" t="s">
        <v>172</v>
      </c>
      <c r="E140" s="70">
        <v>68000</v>
      </c>
    </row>
    <row r="141" spans="1:5" ht="20.100000000000001" customHeight="1">
      <c r="A141" s="25">
        <v>8</v>
      </c>
      <c r="B141" s="9" t="s">
        <v>314</v>
      </c>
      <c r="C141" s="10" t="s">
        <v>919</v>
      </c>
      <c r="D141" s="13" t="s">
        <v>172</v>
      </c>
      <c r="E141" s="70">
        <v>68000</v>
      </c>
    </row>
    <row r="142" spans="1:5" ht="20.100000000000001" customHeight="1">
      <c r="A142" s="25">
        <v>9</v>
      </c>
      <c r="B142" s="9" t="s">
        <v>315</v>
      </c>
      <c r="C142" s="2" t="s">
        <v>920</v>
      </c>
      <c r="D142" s="13" t="s">
        <v>172</v>
      </c>
      <c r="E142" s="70">
        <v>68000</v>
      </c>
    </row>
    <row r="143" spans="1:5" ht="20.100000000000001" customHeight="1">
      <c r="A143" s="25">
        <v>10</v>
      </c>
      <c r="B143" s="9" t="s">
        <v>317</v>
      </c>
      <c r="C143" s="10" t="s">
        <v>636</v>
      </c>
      <c r="D143" s="13" t="s">
        <v>70</v>
      </c>
      <c r="E143" s="70">
        <v>68000</v>
      </c>
    </row>
    <row r="144" spans="1:5" ht="20.100000000000001" customHeight="1">
      <c r="A144" s="25">
        <v>11</v>
      </c>
      <c r="B144" s="9" t="s">
        <v>319</v>
      </c>
      <c r="C144" s="10" t="s">
        <v>320</v>
      </c>
      <c r="D144" s="13" t="s">
        <v>131</v>
      </c>
      <c r="E144" s="70">
        <v>68000</v>
      </c>
    </row>
    <row r="145" spans="1:5" ht="20.100000000000001" customHeight="1">
      <c r="A145" s="25">
        <v>12</v>
      </c>
      <c r="B145" s="9" t="s">
        <v>62</v>
      </c>
      <c r="C145" s="10" t="s">
        <v>921</v>
      </c>
      <c r="D145" s="13" t="s">
        <v>172</v>
      </c>
      <c r="E145" s="70">
        <v>68000</v>
      </c>
    </row>
    <row r="146" spans="1:5" ht="20.100000000000001" customHeight="1">
      <c r="A146" s="25">
        <v>13</v>
      </c>
      <c r="B146" s="16" t="s">
        <v>321</v>
      </c>
      <c r="C146" s="2" t="s">
        <v>322</v>
      </c>
      <c r="D146" s="13" t="s">
        <v>179</v>
      </c>
      <c r="E146" s="70">
        <v>68000</v>
      </c>
    </row>
    <row r="147" spans="1:5" ht="20.100000000000001" customHeight="1">
      <c r="A147" s="25">
        <v>14</v>
      </c>
      <c r="B147" s="9" t="s">
        <v>323</v>
      </c>
      <c r="C147" s="2" t="s">
        <v>922</v>
      </c>
      <c r="D147" s="13" t="s">
        <v>78</v>
      </c>
      <c r="E147" s="70">
        <v>68000</v>
      </c>
    </row>
    <row r="148" spans="1:5" ht="20.100000000000001" customHeight="1">
      <c r="A148" s="25">
        <v>15</v>
      </c>
      <c r="B148" s="9" t="s">
        <v>324</v>
      </c>
      <c r="C148" s="2" t="s">
        <v>922</v>
      </c>
      <c r="D148" s="13" t="s">
        <v>151</v>
      </c>
      <c r="E148" s="70">
        <v>68000</v>
      </c>
    </row>
    <row r="149" spans="1:5" ht="20.100000000000001" customHeight="1">
      <c r="A149" s="25">
        <v>16</v>
      </c>
      <c r="B149" s="9" t="s">
        <v>326</v>
      </c>
      <c r="C149" s="2" t="s">
        <v>922</v>
      </c>
      <c r="D149" s="13" t="s">
        <v>151</v>
      </c>
      <c r="E149" s="70">
        <v>68000</v>
      </c>
    </row>
    <row r="150" spans="1:5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70">
        <v>68000</v>
      </c>
    </row>
    <row r="151" spans="1:5" ht="20.100000000000001" customHeight="1">
      <c r="A151" s="25">
        <v>18</v>
      </c>
      <c r="B151" s="9" t="s">
        <v>329</v>
      </c>
      <c r="C151" s="10" t="s">
        <v>330</v>
      </c>
      <c r="D151" s="8" t="s">
        <v>99</v>
      </c>
      <c r="E151" s="70">
        <v>54000</v>
      </c>
    </row>
    <row r="152" spans="1:5" ht="20.100000000000001" customHeight="1">
      <c r="A152" s="25">
        <v>19</v>
      </c>
      <c r="B152" s="9" t="s">
        <v>331</v>
      </c>
      <c r="C152" s="10" t="s">
        <v>637</v>
      </c>
      <c r="D152" s="13" t="s">
        <v>78</v>
      </c>
      <c r="E152" s="186">
        <v>68000</v>
      </c>
    </row>
    <row r="153" spans="1:5" ht="20.100000000000001" customHeight="1">
      <c r="A153" s="25">
        <v>20</v>
      </c>
      <c r="B153" s="9" t="s">
        <v>333</v>
      </c>
      <c r="C153" s="10" t="s">
        <v>638</v>
      </c>
      <c r="D153" s="13" t="s">
        <v>86</v>
      </c>
      <c r="E153" s="186">
        <v>54000</v>
      </c>
    </row>
    <row r="154" spans="1:5" ht="20.100000000000001" customHeight="1">
      <c r="A154" s="25">
        <v>21</v>
      </c>
      <c r="B154" s="9" t="s">
        <v>335</v>
      </c>
      <c r="C154" s="10" t="s">
        <v>639</v>
      </c>
      <c r="D154" s="13" t="s">
        <v>78</v>
      </c>
      <c r="E154" s="186">
        <v>68000</v>
      </c>
    </row>
    <row r="155" spans="1:5" ht="20.100000000000001" customHeight="1">
      <c r="A155" s="25">
        <v>22</v>
      </c>
      <c r="B155" s="9" t="s">
        <v>336</v>
      </c>
      <c r="C155" s="10" t="s">
        <v>640</v>
      </c>
      <c r="D155" s="13" t="s">
        <v>86</v>
      </c>
      <c r="E155" s="186">
        <v>54000</v>
      </c>
    </row>
    <row r="156" spans="1:5" ht="20.100000000000001" customHeight="1">
      <c r="A156" s="25">
        <v>23</v>
      </c>
      <c r="B156" s="16" t="s">
        <v>338</v>
      </c>
      <c r="C156" s="10" t="s">
        <v>339</v>
      </c>
      <c r="D156" s="13" t="s">
        <v>225</v>
      </c>
      <c r="E156" s="186">
        <v>54000</v>
      </c>
    </row>
    <row r="157" spans="1:5" ht="20.100000000000001" customHeight="1">
      <c r="A157" s="25">
        <v>24</v>
      </c>
      <c r="B157" s="16" t="s">
        <v>345</v>
      </c>
      <c r="C157" s="10" t="s">
        <v>346</v>
      </c>
      <c r="D157" s="13" t="s">
        <v>111</v>
      </c>
      <c r="E157" s="186">
        <v>54000</v>
      </c>
    </row>
    <row r="158" spans="1:5" ht="20.100000000000001" customHeight="1">
      <c r="A158" s="25">
        <v>25</v>
      </c>
      <c r="B158" s="16" t="s">
        <v>347</v>
      </c>
      <c r="C158" s="10" t="s">
        <v>348</v>
      </c>
      <c r="D158" s="13" t="s">
        <v>111</v>
      </c>
      <c r="E158" s="186">
        <v>54000</v>
      </c>
    </row>
    <row r="159" spans="1:5" ht="20.100000000000001" customHeight="1">
      <c r="A159" s="25">
        <v>26</v>
      </c>
      <c r="B159" s="16" t="s">
        <v>349</v>
      </c>
      <c r="C159" s="10" t="s">
        <v>350</v>
      </c>
      <c r="D159" s="13" t="s">
        <v>111</v>
      </c>
      <c r="E159" s="186">
        <v>54000</v>
      </c>
    </row>
    <row r="160" spans="1:5" ht="20.100000000000001" customHeight="1">
      <c r="A160" s="25">
        <v>27</v>
      </c>
      <c r="B160" s="16" t="s">
        <v>351</v>
      </c>
      <c r="C160" s="10" t="s">
        <v>641</v>
      </c>
      <c r="D160" s="13" t="s">
        <v>108</v>
      </c>
      <c r="E160" s="186">
        <v>54000</v>
      </c>
    </row>
    <row r="161" spans="1:5" ht="20.100000000000001" customHeight="1">
      <c r="A161" s="25">
        <v>28</v>
      </c>
      <c r="B161" s="16" t="s">
        <v>352</v>
      </c>
      <c r="C161" s="10" t="s">
        <v>348</v>
      </c>
      <c r="D161" s="13" t="s">
        <v>111</v>
      </c>
      <c r="E161" s="186">
        <v>54000</v>
      </c>
    </row>
    <row r="162" spans="1:5" ht="20.100000000000001" customHeight="1">
      <c r="A162" s="25">
        <v>29</v>
      </c>
      <c r="B162" s="9" t="s">
        <v>361</v>
      </c>
      <c r="C162" s="10" t="s">
        <v>556</v>
      </c>
      <c r="D162" s="13" t="s">
        <v>386</v>
      </c>
      <c r="E162" s="192">
        <v>36000</v>
      </c>
    </row>
    <row r="163" spans="1:5" ht="20.100000000000001" customHeight="1">
      <c r="A163" s="25">
        <v>30</v>
      </c>
      <c r="B163" s="9" t="s">
        <v>364</v>
      </c>
      <c r="C163" s="10" t="s">
        <v>556</v>
      </c>
      <c r="D163" s="13" t="s">
        <v>386</v>
      </c>
      <c r="E163" s="192">
        <v>36000</v>
      </c>
    </row>
    <row r="164" spans="1:5" ht="20.100000000000001" customHeight="1">
      <c r="A164" s="25">
        <v>31</v>
      </c>
      <c r="B164" s="9" t="s">
        <v>642</v>
      </c>
      <c r="C164" s="10" t="s">
        <v>556</v>
      </c>
      <c r="D164" s="13" t="s">
        <v>386</v>
      </c>
      <c r="E164" s="192">
        <v>36000</v>
      </c>
    </row>
    <row r="165" spans="1:5" ht="20.100000000000001" customHeight="1">
      <c r="A165" s="25">
        <v>32</v>
      </c>
      <c r="B165" s="9" t="s">
        <v>365</v>
      </c>
      <c r="C165" s="10" t="s">
        <v>556</v>
      </c>
      <c r="D165" s="13" t="s">
        <v>386</v>
      </c>
      <c r="E165" s="192">
        <v>36000</v>
      </c>
    </row>
    <row r="166" spans="1:5" ht="20.100000000000001" customHeight="1">
      <c r="A166" s="25">
        <v>33</v>
      </c>
      <c r="B166" s="9" t="s">
        <v>366</v>
      </c>
      <c r="C166" s="10" t="s">
        <v>556</v>
      </c>
      <c r="D166" s="13" t="s">
        <v>386</v>
      </c>
      <c r="E166" s="192">
        <v>36000</v>
      </c>
    </row>
    <row r="167" spans="1:5" ht="20.100000000000001" customHeight="1">
      <c r="A167" s="25">
        <v>34</v>
      </c>
      <c r="B167" s="9" t="s">
        <v>367</v>
      </c>
      <c r="C167" s="10" t="s">
        <v>556</v>
      </c>
      <c r="D167" s="13" t="s">
        <v>379</v>
      </c>
      <c r="E167" s="192">
        <v>36000</v>
      </c>
    </row>
    <row r="168" spans="1:5" ht="20.100000000000001" customHeight="1">
      <c r="A168" s="25">
        <v>35</v>
      </c>
      <c r="B168" s="9" t="s">
        <v>369</v>
      </c>
      <c r="C168" s="10" t="s">
        <v>556</v>
      </c>
      <c r="D168" s="13" t="s">
        <v>379</v>
      </c>
      <c r="E168" s="192">
        <v>36000</v>
      </c>
    </row>
    <row r="169" spans="1:5" ht="20.100000000000001" customHeight="1">
      <c r="A169" s="25">
        <v>36</v>
      </c>
      <c r="B169" s="12" t="s">
        <v>370</v>
      </c>
      <c r="C169" s="10" t="s">
        <v>556</v>
      </c>
      <c r="D169" s="13" t="s">
        <v>379</v>
      </c>
      <c r="E169" s="192">
        <v>36000</v>
      </c>
    </row>
    <row r="170" spans="1:5" ht="20.100000000000001" customHeight="1">
      <c r="A170" s="25">
        <v>37</v>
      </c>
      <c r="B170" s="9" t="s">
        <v>371</v>
      </c>
      <c r="C170" s="10" t="s">
        <v>556</v>
      </c>
      <c r="D170" s="13" t="s">
        <v>379</v>
      </c>
      <c r="E170" s="192">
        <v>36000</v>
      </c>
    </row>
    <row r="171" spans="1:5" ht="20.100000000000001" customHeight="1">
      <c r="A171" s="25">
        <v>38</v>
      </c>
      <c r="B171" s="16" t="s">
        <v>372</v>
      </c>
      <c r="C171" s="10" t="s">
        <v>556</v>
      </c>
      <c r="D171" s="13" t="s">
        <v>379</v>
      </c>
      <c r="E171" s="192">
        <v>36000</v>
      </c>
    </row>
    <row r="172" spans="1:5" ht="20.100000000000001" customHeight="1">
      <c r="A172" s="25">
        <v>39</v>
      </c>
      <c r="B172" s="16" t="s">
        <v>359</v>
      </c>
      <c r="C172" s="10" t="s">
        <v>556</v>
      </c>
      <c r="D172" s="13" t="s">
        <v>379</v>
      </c>
      <c r="E172" s="192">
        <v>36000</v>
      </c>
    </row>
    <row r="173" spans="1:5" ht="20.100000000000001" customHeight="1">
      <c r="A173" s="25">
        <v>40</v>
      </c>
      <c r="B173" s="9" t="s">
        <v>373</v>
      </c>
      <c r="C173" s="10" t="s">
        <v>362</v>
      </c>
      <c r="D173" s="13" t="s">
        <v>583</v>
      </c>
      <c r="E173" s="192">
        <v>36000</v>
      </c>
    </row>
    <row r="174" spans="1:5" ht="20.100000000000001" customHeight="1">
      <c r="A174" s="25">
        <v>41</v>
      </c>
      <c r="B174" s="9" t="s">
        <v>375</v>
      </c>
      <c r="C174" s="10" t="s">
        <v>362</v>
      </c>
      <c r="D174" s="13" t="s">
        <v>583</v>
      </c>
      <c r="E174" s="192">
        <v>36000</v>
      </c>
    </row>
    <row r="175" spans="1:5" ht="20.100000000000001" customHeight="1">
      <c r="A175" s="25">
        <v>42</v>
      </c>
      <c r="B175" s="16" t="s">
        <v>376</v>
      </c>
      <c r="C175" s="10" t="s">
        <v>362</v>
      </c>
      <c r="D175" s="13" t="s">
        <v>582</v>
      </c>
      <c r="E175" s="192">
        <v>36000</v>
      </c>
    </row>
    <row r="176" spans="1:5" ht="20.100000000000001" customHeight="1">
      <c r="A176" s="25">
        <v>43</v>
      </c>
      <c r="B176" s="9" t="s">
        <v>378</v>
      </c>
      <c r="C176" s="10" t="s">
        <v>389</v>
      </c>
      <c r="D176" s="13" t="s">
        <v>584</v>
      </c>
      <c r="E176" s="70">
        <v>36000</v>
      </c>
    </row>
    <row r="177" spans="1:5" ht="20.100000000000001" customHeight="1">
      <c r="A177" s="25">
        <v>44</v>
      </c>
      <c r="B177" s="9" t="s">
        <v>380</v>
      </c>
      <c r="C177" s="10" t="s">
        <v>558</v>
      </c>
      <c r="D177" s="13" t="s">
        <v>645</v>
      </c>
      <c r="E177" s="70">
        <v>36000</v>
      </c>
    </row>
    <row r="178" spans="1:5" ht="20.100000000000001" customHeight="1">
      <c r="A178" s="25">
        <v>45</v>
      </c>
      <c r="B178" s="9" t="s">
        <v>381</v>
      </c>
      <c r="C178" s="10" t="s">
        <v>558</v>
      </c>
      <c r="D178" s="13" t="s">
        <v>645</v>
      </c>
      <c r="E178" s="70">
        <v>36000</v>
      </c>
    </row>
    <row r="179" spans="1:5" ht="20.100000000000001" customHeight="1">
      <c r="A179" s="25">
        <v>46</v>
      </c>
      <c r="B179" s="9" t="s">
        <v>382</v>
      </c>
      <c r="C179" s="10" t="s">
        <v>558</v>
      </c>
      <c r="D179" s="13" t="s">
        <v>645</v>
      </c>
      <c r="E179" s="70">
        <v>36000</v>
      </c>
    </row>
    <row r="180" spans="1:5" ht="20.100000000000001" customHeight="1">
      <c r="A180" s="25">
        <v>47</v>
      </c>
      <c r="B180" s="9" t="s">
        <v>383</v>
      </c>
      <c r="C180" s="10" t="s">
        <v>558</v>
      </c>
      <c r="D180" s="13" t="s">
        <v>645</v>
      </c>
      <c r="E180" s="70">
        <v>36000</v>
      </c>
    </row>
    <row r="181" spans="1:5" ht="20.100000000000001" customHeight="1">
      <c r="A181" s="25">
        <v>48</v>
      </c>
      <c r="B181" s="9" t="s">
        <v>384</v>
      </c>
      <c r="C181" s="10" t="s">
        <v>558</v>
      </c>
      <c r="D181" s="13" t="s">
        <v>645</v>
      </c>
      <c r="E181" s="70">
        <v>36000</v>
      </c>
    </row>
    <row r="182" spans="1:5" ht="20.100000000000001" customHeight="1">
      <c r="A182" s="25">
        <v>49</v>
      </c>
      <c r="B182" s="16" t="s">
        <v>385</v>
      </c>
      <c r="C182" s="10" t="s">
        <v>558</v>
      </c>
      <c r="D182" s="13" t="s">
        <v>645</v>
      </c>
      <c r="E182" s="70">
        <v>36000</v>
      </c>
    </row>
    <row r="183" spans="1:5" ht="20.100000000000001" customHeight="1">
      <c r="A183" s="25">
        <v>50</v>
      </c>
      <c r="B183" s="16" t="s">
        <v>387</v>
      </c>
      <c r="C183" s="10" t="s">
        <v>558</v>
      </c>
      <c r="D183" s="13" t="s">
        <v>645</v>
      </c>
      <c r="E183" s="70">
        <v>36000</v>
      </c>
    </row>
    <row r="184" spans="1:5" ht="20.100000000000001" customHeight="1">
      <c r="A184" s="25">
        <v>51</v>
      </c>
      <c r="B184" s="9" t="s">
        <v>644</v>
      </c>
      <c r="C184" s="10" t="s">
        <v>389</v>
      </c>
      <c r="D184" s="13" t="s">
        <v>645</v>
      </c>
      <c r="E184" s="70">
        <v>36000</v>
      </c>
    </row>
    <row r="185" spans="1:5" ht="20.100000000000001" customHeight="1">
      <c r="A185" s="25">
        <v>52</v>
      </c>
      <c r="B185" s="9" t="s">
        <v>388</v>
      </c>
      <c r="C185" s="10" t="s">
        <v>389</v>
      </c>
      <c r="D185" s="13" t="s">
        <v>645</v>
      </c>
      <c r="E185" s="70">
        <v>36000</v>
      </c>
    </row>
    <row r="186" spans="1:5" ht="20.100000000000001" customHeight="1">
      <c r="A186" s="25">
        <v>53</v>
      </c>
      <c r="B186" s="16" t="s">
        <v>360</v>
      </c>
      <c r="C186" s="10" t="s">
        <v>392</v>
      </c>
      <c r="D186" s="13" t="s">
        <v>393</v>
      </c>
      <c r="E186" s="70">
        <v>36000</v>
      </c>
    </row>
    <row r="187" spans="1:5" ht="20.100000000000001" customHeight="1">
      <c r="A187" s="25">
        <v>54</v>
      </c>
      <c r="B187" s="16" t="s">
        <v>394</v>
      </c>
      <c r="C187" s="10" t="s">
        <v>558</v>
      </c>
      <c r="D187" s="13" t="s">
        <v>400</v>
      </c>
      <c r="E187" s="70">
        <v>36000</v>
      </c>
    </row>
    <row r="188" spans="1:5" ht="20.100000000000001" customHeight="1">
      <c r="A188" s="25">
        <v>55</v>
      </c>
      <c r="B188" s="16" t="s">
        <v>398</v>
      </c>
      <c r="C188" s="10" t="s">
        <v>399</v>
      </c>
      <c r="D188" s="13" t="s">
        <v>923</v>
      </c>
      <c r="E188" s="70">
        <v>36000</v>
      </c>
    </row>
    <row r="189" spans="1:5" ht="20.100000000000001" customHeight="1">
      <c r="A189" s="25">
        <v>56</v>
      </c>
      <c r="B189" s="16" t="s">
        <v>401</v>
      </c>
      <c r="C189" s="10" t="s">
        <v>399</v>
      </c>
      <c r="D189" s="13" t="s">
        <v>923</v>
      </c>
      <c r="E189" s="70">
        <v>36000</v>
      </c>
    </row>
    <row r="190" spans="1:5" ht="20.100000000000001" customHeight="1">
      <c r="A190" s="25">
        <v>57</v>
      </c>
      <c r="B190" s="16" t="s">
        <v>402</v>
      </c>
      <c r="C190" s="10" t="s">
        <v>399</v>
      </c>
      <c r="D190" s="13" t="s">
        <v>923</v>
      </c>
      <c r="E190" s="70">
        <v>36000</v>
      </c>
    </row>
    <row r="191" spans="1:5" ht="20.100000000000001" customHeight="1">
      <c r="A191" s="25">
        <v>58</v>
      </c>
      <c r="B191" s="16" t="s">
        <v>403</v>
      </c>
      <c r="C191" s="10" t="s">
        <v>404</v>
      </c>
      <c r="D191" s="13" t="s">
        <v>395</v>
      </c>
      <c r="E191" s="70">
        <v>36000</v>
      </c>
    </row>
    <row r="192" spans="1:5" ht="20.100000000000001" customHeight="1">
      <c r="A192" s="25">
        <v>59</v>
      </c>
      <c r="B192" s="16" t="s">
        <v>406</v>
      </c>
      <c r="C192" s="10" t="s">
        <v>404</v>
      </c>
      <c r="D192" s="13" t="s">
        <v>395</v>
      </c>
      <c r="E192" s="70">
        <v>36000</v>
      </c>
    </row>
    <row r="193" spans="1:5" ht="30.75" customHeight="1">
      <c r="A193" s="25"/>
      <c r="B193" s="6" t="s">
        <v>120</v>
      </c>
      <c r="C193" s="26" t="s">
        <v>924</v>
      </c>
      <c r="D193" s="27"/>
      <c r="E193" s="78">
        <f>SUM(E134:E192)</f>
        <v>3386000</v>
      </c>
    </row>
    <row r="194" spans="1:5" ht="42.75" customHeight="1">
      <c r="A194" s="2"/>
      <c r="B194" s="28" t="s">
        <v>408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1176" t="s">
        <v>0</v>
      </c>
      <c r="B1" s="1176"/>
      <c r="C1" s="1176"/>
      <c r="D1" s="1176"/>
      <c r="E1" s="1176"/>
      <c r="F1" s="1176"/>
      <c r="G1" s="183"/>
      <c r="H1" s="183"/>
      <c r="I1" s="183"/>
      <c r="J1" s="183"/>
      <c r="K1" s="183"/>
      <c r="L1" s="183"/>
    </row>
    <row r="2" spans="1:17" ht="33.75" customHeight="1">
      <c r="A2" s="459" t="s">
        <v>1123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814</v>
      </c>
      <c r="F4" s="184" t="s">
        <v>1124</v>
      </c>
      <c r="G4" s="184" t="s">
        <v>1125</v>
      </c>
      <c r="H4" s="184" t="s">
        <v>1126</v>
      </c>
      <c r="I4" s="184" t="s">
        <v>8</v>
      </c>
      <c r="J4" s="462" t="s">
        <v>1031</v>
      </c>
      <c r="K4" s="462" t="s">
        <v>1127</v>
      </c>
      <c r="L4" s="462" t="s">
        <v>1128</v>
      </c>
      <c r="M4" s="463" t="s">
        <v>1129</v>
      </c>
      <c r="N4" s="522" t="s">
        <v>1130</v>
      </c>
      <c r="O4" s="522" t="s">
        <v>1131</v>
      </c>
      <c r="P4" s="523"/>
      <c r="Q4" s="541" t="s">
        <v>1132</v>
      </c>
    </row>
    <row r="5" spans="1:17" ht="17.25" customHeight="1">
      <c r="C5" s="6"/>
      <c r="D5" s="6"/>
      <c r="L5" s="330" t="s">
        <v>599</v>
      </c>
      <c r="O5" s="524" t="s">
        <v>600</v>
      </c>
      <c r="P5" s="525"/>
      <c r="Q5" s="330" t="s">
        <v>1133</v>
      </c>
    </row>
    <row r="6" spans="1:17" ht="20.100000000000001" customHeight="1">
      <c r="A6" s="7" t="s">
        <v>22</v>
      </c>
      <c r="B6" s="6" t="s">
        <v>23</v>
      </c>
      <c r="C6" s="6"/>
      <c r="D6" s="6"/>
      <c r="E6" s="67" t="s">
        <v>21</v>
      </c>
      <c r="F6" s="67" t="s">
        <v>21</v>
      </c>
      <c r="G6" s="67" t="s">
        <v>21</v>
      </c>
      <c r="H6" s="67" t="s">
        <v>21</v>
      </c>
      <c r="I6" s="67" t="s">
        <v>21</v>
      </c>
      <c r="J6" s="67" t="s">
        <v>21</v>
      </c>
      <c r="K6" s="67" t="s">
        <v>21</v>
      </c>
      <c r="L6" s="67" t="s">
        <v>21</v>
      </c>
      <c r="M6" s="67" t="s">
        <v>21</v>
      </c>
      <c r="N6" s="526" t="s">
        <v>21</v>
      </c>
      <c r="O6" s="526" t="s">
        <v>21</v>
      </c>
      <c r="P6" s="527"/>
      <c r="Q6" s="542" t="s">
        <v>21</v>
      </c>
    </row>
    <row r="7" spans="1:17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302</v>
      </c>
      <c r="C11" s="2" t="s">
        <v>1115</v>
      </c>
      <c r="D11" s="8" t="s">
        <v>29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891</v>
      </c>
      <c r="C12" s="8" t="s">
        <v>892</v>
      </c>
      <c r="D12" s="8" t="s">
        <v>29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40</v>
      </c>
      <c r="C15" s="2" t="s">
        <v>619</v>
      </c>
      <c r="D15" s="13" t="s">
        <v>191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43</v>
      </c>
      <c r="C16" s="15" t="s">
        <v>52</v>
      </c>
      <c r="D16" s="13" t="s">
        <v>47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45</v>
      </c>
      <c r="C17" s="2" t="s">
        <v>46</v>
      </c>
      <c r="D17" s="8" t="s">
        <v>53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48</v>
      </c>
      <c r="C18" s="2" t="s">
        <v>894</v>
      </c>
      <c r="D18" s="8" t="s">
        <v>56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51</v>
      </c>
      <c r="C19" s="10" t="s">
        <v>61</v>
      </c>
      <c r="D19" s="13" t="s">
        <v>575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54</v>
      </c>
      <c r="C20" s="2" t="s">
        <v>1116</v>
      </c>
      <c r="D20" s="13" t="s">
        <v>59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65</v>
      </c>
      <c r="C21" s="10" t="s">
        <v>177</v>
      </c>
      <c r="D21" s="13" t="s">
        <v>70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68</v>
      </c>
      <c r="C22" s="15" t="s">
        <v>1117</v>
      </c>
      <c r="D22" s="8" t="s">
        <v>179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71</v>
      </c>
      <c r="C23" s="15" t="s">
        <v>72</v>
      </c>
      <c r="D23" s="13" t="s">
        <v>179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73</v>
      </c>
      <c r="C24" s="15" t="s">
        <v>74</v>
      </c>
      <c r="D24" s="8" t="s">
        <v>81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483</v>
      </c>
      <c r="C25" s="2" t="s">
        <v>94</v>
      </c>
      <c r="D25" s="8" t="s">
        <v>86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79</v>
      </c>
      <c r="C26" s="10" t="s">
        <v>94</v>
      </c>
      <c r="D26" s="13" t="s">
        <v>86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82</v>
      </c>
      <c r="C27" s="15" t="s">
        <v>69</v>
      </c>
      <c r="D27" s="8" t="s">
        <v>86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84</v>
      </c>
      <c r="C28" s="10" t="s">
        <v>85</v>
      </c>
      <c r="D28" s="13" t="s">
        <v>99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87</v>
      </c>
      <c r="C29" s="2" t="s">
        <v>88</v>
      </c>
      <c r="D29" s="8" t="s">
        <v>225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89</v>
      </c>
      <c r="C30" s="2" t="s">
        <v>88</v>
      </c>
      <c r="D30" s="8" t="s">
        <v>225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91</v>
      </c>
      <c r="C31" s="15" t="s">
        <v>622</v>
      </c>
      <c r="D31" s="13" t="s">
        <v>86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95</v>
      </c>
      <c r="C32" s="2" t="s">
        <v>623</v>
      </c>
      <c r="D32" s="8" t="s">
        <v>108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103</v>
      </c>
      <c r="C33" s="10" t="s">
        <v>104</v>
      </c>
      <c r="D33" s="13" t="s">
        <v>111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120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121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122</v>
      </c>
      <c r="C37" s="2" t="s">
        <v>123</v>
      </c>
      <c r="D37" s="8" t="s">
        <v>124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127</v>
      </c>
      <c r="C38" s="2" t="s">
        <v>1118</v>
      </c>
      <c r="D38" s="8" t="s">
        <v>81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129</v>
      </c>
      <c r="C39" s="10" t="s">
        <v>1119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137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138</v>
      </c>
      <c r="C45" s="2" t="s">
        <v>624</v>
      </c>
      <c r="D45" s="8" t="s">
        <v>209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143</v>
      </c>
      <c r="C47" s="2" t="s">
        <v>142</v>
      </c>
      <c r="D47" s="8" t="s">
        <v>39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144</v>
      </c>
      <c r="C48" s="2" t="s">
        <v>142</v>
      </c>
      <c r="D48" s="8" t="s">
        <v>42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153</v>
      </c>
      <c r="C51" s="2" t="s">
        <v>150</v>
      </c>
      <c r="D51" s="8" t="s">
        <v>99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898</v>
      </c>
      <c r="C52" s="2" t="s">
        <v>150</v>
      </c>
      <c r="D52" s="8" t="s">
        <v>99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155</v>
      </c>
      <c r="C53" s="2" t="s">
        <v>150</v>
      </c>
      <c r="D53" s="8" t="s">
        <v>99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120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157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899</v>
      </c>
      <c r="C57" s="10" t="s">
        <v>159</v>
      </c>
      <c r="D57" s="13" t="s">
        <v>124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160</v>
      </c>
      <c r="C58" s="10" t="s">
        <v>161</v>
      </c>
      <c r="D58" s="13" t="s">
        <v>162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120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163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900</v>
      </c>
      <c r="C62" s="15" t="s">
        <v>901</v>
      </c>
      <c r="D62" s="8" t="s">
        <v>124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902</v>
      </c>
      <c r="C63" s="15" t="s">
        <v>903</v>
      </c>
      <c r="D63" s="13" t="s">
        <v>50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166</v>
      </c>
      <c r="C64" s="2" t="s">
        <v>52</v>
      </c>
      <c r="D64" s="8" t="s">
        <v>53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904</v>
      </c>
      <c r="C65" s="15" t="s">
        <v>217</v>
      </c>
      <c r="D65" s="13" t="s">
        <v>575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905</v>
      </c>
      <c r="C66" s="15" t="s">
        <v>52</v>
      </c>
      <c r="D66" s="13" t="s">
        <v>191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170</v>
      </c>
      <c r="C67" s="2" t="s">
        <v>150</v>
      </c>
      <c r="D67" s="8" t="s">
        <v>131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171</v>
      </c>
      <c r="C68" s="15" t="s">
        <v>72</v>
      </c>
      <c r="D68" s="8" t="s">
        <v>131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173</v>
      </c>
      <c r="C69" s="15" t="s">
        <v>72</v>
      </c>
      <c r="D69" s="8" t="s">
        <v>131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174</v>
      </c>
      <c r="C70" s="2" t="s">
        <v>625</v>
      </c>
      <c r="D70" s="8" t="s">
        <v>70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120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182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906</v>
      </c>
      <c r="C76" s="2" t="s">
        <v>907</v>
      </c>
      <c r="D76" s="13" t="s">
        <v>908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185</v>
      </c>
      <c r="C77" s="10" t="s">
        <v>909</v>
      </c>
      <c r="D77" s="8" t="s">
        <v>162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189</v>
      </c>
      <c r="C78" s="2" t="s">
        <v>190</v>
      </c>
      <c r="D78" s="13" t="s">
        <v>214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196</v>
      </c>
      <c r="C79" s="2" t="s">
        <v>181</v>
      </c>
      <c r="D79" s="8" t="s">
        <v>78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200</v>
      </c>
      <c r="C80" s="2" t="s">
        <v>181</v>
      </c>
      <c r="D80" s="8" t="s">
        <v>99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202</v>
      </c>
      <c r="C81" s="2" t="s">
        <v>203</v>
      </c>
      <c r="D81" s="8" t="s">
        <v>111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120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204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207</v>
      </c>
      <c r="C85" s="2" t="s">
        <v>142</v>
      </c>
      <c r="D85" s="8" t="s">
        <v>39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205</v>
      </c>
      <c r="C86" s="2" t="s">
        <v>142</v>
      </c>
      <c r="D86" s="8" t="s">
        <v>39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210</v>
      </c>
      <c r="C87" s="2" t="s">
        <v>142</v>
      </c>
      <c r="D87" s="8" t="s">
        <v>42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211</v>
      </c>
      <c r="C88" s="2" t="s">
        <v>910</v>
      </c>
      <c r="D88" s="13" t="s">
        <v>56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212</v>
      </c>
      <c r="C89" s="10" t="s">
        <v>217</v>
      </c>
      <c r="D89" s="13" t="s">
        <v>575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213</v>
      </c>
      <c r="C90" s="10" t="s">
        <v>52</v>
      </c>
      <c r="D90" s="13" t="s">
        <v>574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215</v>
      </c>
      <c r="C91" s="15" t="s">
        <v>72</v>
      </c>
      <c r="D91" s="13" t="s">
        <v>131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216</v>
      </c>
      <c r="C92" s="15" t="s">
        <v>217</v>
      </c>
      <c r="D92" s="13" t="s">
        <v>67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220</v>
      </c>
      <c r="C93" s="2" t="s">
        <v>221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224</v>
      </c>
      <c r="C94" s="15" t="s">
        <v>554</v>
      </c>
      <c r="D94" s="13" t="s">
        <v>108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120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226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227</v>
      </c>
      <c r="C98" s="2" t="s">
        <v>626</v>
      </c>
      <c r="D98" s="14" t="s">
        <v>36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229</v>
      </c>
      <c r="C99" s="2" t="s">
        <v>230</v>
      </c>
      <c r="D99" s="13" t="s">
        <v>214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235</v>
      </c>
      <c r="C100" s="2" t="s">
        <v>627</v>
      </c>
      <c r="D100" s="13" t="s">
        <v>70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236</v>
      </c>
      <c r="C101" s="2" t="s">
        <v>199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120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911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517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108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120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164</v>
      </c>
      <c r="C115" s="2" t="s">
        <v>142</v>
      </c>
      <c r="D115" s="8" t="s">
        <v>50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259</v>
      </c>
      <c r="C116" s="2" t="s">
        <v>260</v>
      </c>
      <c r="D116" s="13" t="s">
        <v>70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192</v>
      </c>
      <c r="C117" s="10" t="s">
        <v>912</v>
      </c>
      <c r="D117" s="13" t="s">
        <v>172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120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281</v>
      </c>
      <c r="C121" s="10" t="s">
        <v>282</v>
      </c>
      <c r="D121" s="13" t="s">
        <v>124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283</v>
      </c>
      <c r="C122" s="10" t="s">
        <v>630</v>
      </c>
      <c r="D122" s="13" t="s">
        <v>209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285</v>
      </c>
      <c r="C123" s="10" t="s">
        <v>631</v>
      </c>
      <c r="D123" s="13" t="s">
        <v>39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913</v>
      </c>
      <c r="C124" s="10" t="s">
        <v>631</v>
      </c>
      <c r="D124" s="13" t="s">
        <v>42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288</v>
      </c>
      <c r="C125" s="10" t="s">
        <v>290</v>
      </c>
      <c r="D125" s="13" t="s">
        <v>47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289</v>
      </c>
      <c r="C126" s="10" t="s">
        <v>632</v>
      </c>
      <c r="D126" s="13" t="s">
        <v>53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291</v>
      </c>
      <c r="C127" s="10" t="s">
        <v>290</v>
      </c>
      <c r="D127" s="13" t="s">
        <v>214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294</v>
      </c>
      <c r="C128" s="10" t="s">
        <v>633</v>
      </c>
      <c r="D128" s="8" t="s">
        <v>86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296</v>
      </c>
      <c r="C129" s="10" t="s">
        <v>297</v>
      </c>
      <c r="D129" s="13" t="s">
        <v>111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298</v>
      </c>
      <c r="C130" s="10" t="s">
        <v>293</v>
      </c>
      <c r="D130" s="13" t="s">
        <v>111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120</v>
      </c>
      <c r="C131" s="24" t="s">
        <v>634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914</v>
      </c>
      <c r="C134" s="10" t="s">
        <v>915</v>
      </c>
      <c r="D134" s="13" t="s">
        <v>124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916</v>
      </c>
      <c r="C135" s="10" t="s">
        <v>917</v>
      </c>
      <c r="D135" s="13" t="s">
        <v>36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305</v>
      </c>
      <c r="C136" s="2" t="s">
        <v>306</v>
      </c>
      <c r="D136" s="14" t="s">
        <v>36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307</v>
      </c>
      <c r="C137" s="10" t="s">
        <v>918</v>
      </c>
      <c r="D137" s="13" t="s">
        <v>191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309</v>
      </c>
      <c r="C138" s="2" t="s">
        <v>313</v>
      </c>
      <c r="D138" s="13" t="s">
        <v>191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311</v>
      </c>
      <c r="C139" s="2" t="s">
        <v>313</v>
      </c>
      <c r="D139" s="13" t="s">
        <v>191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231</v>
      </c>
      <c r="C140" s="10" t="s">
        <v>919</v>
      </c>
      <c r="D140" s="13" t="s">
        <v>172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314</v>
      </c>
      <c r="C141" s="10" t="s">
        <v>919</v>
      </c>
      <c r="D141" s="13" t="s">
        <v>172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315</v>
      </c>
      <c r="C142" s="2" t="s">
        <v>920</v>
      </c>
      <c r="D142" s="13" t="s">
        <v>172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317</v>
      </c>
      <c r="C143" s="10" t="s">
        <v>636</v>
      </c>
      <c r="D143" s="13" t="s">
        <v>70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319</v>
      </c>
      <c r="C144" s="10" t="s">
        <v>320</v>
      </c>
      <c r="D144" s="13" t="s">
        <v>131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62</v>
      </c>
      <c r="C145" s="10" t="s">
        <v>921</v>
      </c>
      <c r="D145" s="13" t="s">
        <v>172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321</v>
      </c>
      <c r="C146" s="2" t="s">
        <v>322</v>
      </c>
      <c r="D146" s="13" t="s">
        <v>179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323</v>
      </c>
      <c r="C147" s="2" t="s">
        <v>922</v>
      </c>
      <c r="D147" s="13" t="s">
        <v>78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324</v>
      </c>
      <c r="C148" s="2" t="s">
        <v>922</v>
      </c>
      <c r="D148" s="13" t="s">
        <v>151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326</v>
      </c>
      <c r="C149" s="2" t="s">
        <v>922</v>
      </c>
      <c r="D149" s="13" t="s">
        <v>151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329</v>
      </c>
      <c r="C151" s="10" t="s">
        <v>330</v>
      </c>
      <c r="D151" s="8" t="s">
        <v>99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331</v>
      </c>
      <c r="C152" s="10" t="s">
        <v>637</v>
      </c>
      <c r="D152" s="13" t="s">
        <v>78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333</v>
      </c>
      <c r="C153" s="10" t="s">
        <v>638</v>
      </c>
      <c r="D153" s="13" t="s">
        <v>86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335</v>
      </c>
      <c r="C154" s="10" t="s">
        <v>639</v>
      </c>
      <c r="D154" s="13" t="s">
        <v>78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336</v>
      </c>
      <c r="C155" s="10" t="s">
        <v>640</v>
      </c>
      <c r="D155" s="13" t="s">
        <v>86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338</v>
      </c>
      <c r="C156" s="10" t="s">
        <v>339</v>
      </c>
      <c r="D156" s="13" t="s">
        <v>225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345</v>
      </c>
      <c r="C157" s="10" t="s">
        <v>346</v>
      </c>
      <c r="D157" s="13" t="s">
        <v>111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347</v>
      </c>
      <c r="C158" s="10" t="s">
        <v>348</v>
      </c>
      <c r="D158" s="13" t="s">
        <v>111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349</v>
      </c>
      <c r="C159" s="10" t="s">
        <v>350</v>
      </c>
      <c r="D159" s="13" t="s">
        <v>111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351</v>
      </c>
      <c r="C160" s="10" t="s">
        <v>641</v>
      </c>
      <c r="D160" s="13" t="s">
        <v>108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352</v>
      </c>
      <c r="C161" s="10" t="s">
        <v>348</v>
      </c>
      <c r="D161" s="13" t="s">
        <v>111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361</v>
      </c>
      <c r="C162" s="10" t="s">
        <v>556</v>
      </c>
      <c r="D162" s="13" t="s">
        <v>386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364</v>
      </c>
      <c r="C163" s="10" t="s">
        <v>556</v>
      </c>
      <c r="D163" s="13" t="s">
        <v>386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642</v>
      </c>
      <c r="C164" s="10" t="s">
        <v>556</v>
      </c>
      <c r="D164" s="13" t="s">
        <v>386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365</v>
      </c>
      <c r="C165" s="10" t="s">
        <v>556</v>
      </c>
      <c r="D165" s="13" t="s">
        <v>386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366</v>
      </c>
      <c r="C166" s="10" t="s">
        <v>556</v>
      </c>
      <c r="D166" s="13" t="s">
        <v>386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367</v>
      </c>
      <c r="C167" s="10" t="s">
        <v>556</v>
      </c>
      <c r="D167" s="13" t="s">
        <v>379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369</v>
      </c>
      <c r="C168" s="10" t="s">
        <v>556</v>
      </c>
      <c r="D168" s="13" t="s">
        <v>379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370</v>
      </c>
      <c r="C169" s="10" t="s">
        <v>556</v>
      </c>
      <c r="D169" s="13" t="s">
        <v>379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371</v>
      </c>
      <c r="C170" s="10" t="s">
        <v>556</v>
      </c>
      <c r="D170" s="13" t="s">
        <v>379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372</v>
      </c>
      <c r="C171" s="10" t="s">
        <v>556</v>
      </c>
      <c r="D171" s="13" t="s">
        <v>379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359</v>
      </c>
      <c r="C172" s="10" t="s">
        <v>556</v>
      </c>
      <c r="D172" s="13" t="s">
        <v>379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373</v>
      </c>
      <c r="C173" s="10" t="s">
        <v>362</v>
      </c>
      <c r="D173" s="13" t="s">
        <v>583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375</v>
      </c>
      <c r="C174" s="10" t="s">
        <v>362</v>
      </c>
      <c r="D174" s="13" t="s">
        <v>583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376</v>
      </c>
      <c r="C175" s="10" t="s">
        <v>362</v>
      </c>
      <c r="D175" s="13" t="s">
        <v>582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378</v>
      </c>
      <c r="C176" s="10" t="s">
        <v>389</v>
      </c>
      <c r="D176" s="13" t="s">
        <v>584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380</v>
      </c>
      <c r="C177" s="10" t="s">
        <v>558</v>
      </c>
      <c r="D177" s="13" t="s">
        <v>645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381</v>
      </c>
      <c r="C178" s="10" t="s">
        <v>558</v>
      </c>
      <c r="D178" s="13" t="s">
        <v>645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382</v>
      </c>
      <c r="C179" s="10" t="s">
        <v>558</v>
      </c>
      <c r="D179" s="13" t="s">
        <v>645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383</v>
      </c>
      <c r="C180" s="10" t="s">
        <v>558</v>
      </c>
      <c r="D180" s="13" t="s">
        <v>645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384</v>
      </c>
      <c r="C181" s="10" t="s">
        <v>558</v>
      </c>
      <c r="D181" s="13" t="s">
        <v>645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385</v>
      </c>
      <c r="C182" s="10" t="s">
        <v>558</v>
      </c>
      <c r="D182" s="13" t="s">
        <v>645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387</v>
      </c>
      <c r="C183" s="10" t="s">
        <v>558</v>
      </c>
      <c r="D183" s="13" t="s">
        <v>645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644</v>
      </c>
      <c r="C184" s="10" t="s">
        <v>389</v>
      </c>
      <c r="D184" s="13" t="s">
        <v>645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388</v>
      </c>
      <c r="C185" s="10" t="s">
        <v>389</v>
      </c>
      <c r="D185" s="13" t="s">
        <v>645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360</v>
      </c>
      <c r="C186" s="10" t="s">
        <v>392</v>
      </c>
      <c r="D186" s="13" t="s">
        <v>393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394</v>
      </c>
      <c r="C187" s="10" t="s">
        <v>558</v>
      </c>
      <c r="D187" s="13" t="s">
        <v>400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398</v>
      </c>
      <c r="C188" s="10" t="s">
        <v>399</v>
      </c>
      <c r="D188" s="13" t="s">
        <v>923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401</v>
      </c>
      <c r="C189" s="10" t="s">
        <v>399</v>
      </c>
      <c r="D189" s="13" t="s">
        <v>923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402</v>
      </c>
      <c r="C190" s="10" t="s">
        <v>399</v>
      </c>
      <c r="D190" s="13" t="s">
        <v>923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403</v>
      </c>
      <c r="C191" s="10" t="s">
        <v>404</v>
      </c>
      <c r="D191" s="13" t="s">
        <v>395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406</v>
      </c>
      <c r="C192" s="10" t="s">
        <v>404</v>
      </c>
      <c r="D192" s="13" t="s">
        <v>395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120</v>
      </c>
      <c r="C193" s="26" t="s">
        <v>924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408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1134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1177" t="s">
        <v>0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504"/>
    </row>
    <row r="2" spans="1:31" hidden="1">
      <c r="A2" s="1178" t="s">
        <v>467</v>
      </c>
      <c r="B2" s="1178"/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178"/>
      <c r="P2" s="1178"/>
      <c r="Q2" s="1178"/>
      <c r="R2" s="1178"/>
      <c r="S2" s="1178"/>
      <c r="T2" s="1178"/>
      <c r="U2" s="1178"/>
      <c r="V2" s="1178"/>
      <c r="W2" s="1178"/>
      <c r="X2" s="1178"/>
      <c r="Y2" s="1178"/>
      <c r="Z2" s="504"/>
    </row>
    <row r="3" spans="1:31" hidden="1">
      <c r="A3" s="1179" t="s">
        <v>468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504"/>
    </row>
    <row r="4" spans="1:31" ht="83.25" customHeight="1">
      <c r="A4" s="495" t="s">
        <v>469</v>
      </c>
      <c r="B4" s="496" t="s">
        <v>470</v>
      </c>
      <c r="C4" s="497" t="s">
        <v>667</v>
      </c>
      <c r="D4" s="496" t="s">
        <v>471</v>
      </c>
      <c r="E4" s="497" t="s">
        <v>472</v>
      </c>
      <c r="F4" s="497" t="s">
        <v>474</v>
      </c>
      <c r="G4" s="497" t="s">
        <v>475</v>
      </c>
      <c r="H4" s="497" t="s">
        <v>476</v>
      </c>
      <c r="I4" s="497" t="s">
        <v>668</v>
      </c>
      <c r="J4" s="497"/>
      <c r="K4" s="497"/>
      <c r="L4" s="497"/>
      <c r="M4" s="497" t="s">
        <v>669</v>
      </c>
      <c r="N4" s="497" t="s">
        <v>477</v>
      </c>
      <c r="O4" s="497" t="s">
        <v>478</v>
      </c>
      <c r="P4" s="497" t="s">
        <v>670</v>
      </c>
      <c r="Q4" s="497" t="s">
        <v>671</v>
      </c>
      <c r="R4" s="497" t="s">
        <v>672</v>
      </c>
      <c r="S4" s="497" t="s">
        <v>673</v>
      </c>
      <c r="T4" s="497" t="s">
        <v>674</v>
      </c>
      <c r="U4" s="497" t="s">
        <v>675</v>
      </c>
      <c r="V4" s="497" t="s">
        <v>479</v>
      </c>
      <c r="W4" s="497"/>
      <c r="X4" s="497" t="s">
        <v>480</v>
      </c>
      <c r="Y4" s="497" t="s">
        <v>676</v>
      </c>
      <c r="Z4" s="497" t="s">
        <v>677</v>
      </c>
      <c r="AA4" s="505"/>
      <c r="AB4" s="505" t="s">
        <v>866</v>
      </c>
    </row>
    <row r="5" spans="1:31" ht="18.75">
      <c r="A5" s="498">
        <v>1</v>
      </c>
      <c r="B5" s="6" t="s">
        <v>23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24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27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30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32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'[10]JANUARY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302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'[10]JANUARY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891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34</v>
      </c>
      <c r="C12" s="422">
        <v>497553.5025</v>
      </c>
      <c r="D12" s="423">
        <v>12</v>
      </c>
      <c r="E12" s="424">
        <f t="shared" si="14"/>
        <v>5970642.0300000003</v>
      </c>
      <c r="F12" s="424">
        <f>'[10]JANUARY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37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'[10]JANUARY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40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43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45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48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51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54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65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68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71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1135</v>
      </c>
      <c r="AD22" s="179"/>
      <c r="AE22" s="179"/>
    </row>
    <row r="23" spans="1:31" ht="18.75">
      <c r="A23" s="498">
        <v>20</v>
      </c>
      <c r="B23" s="12" t="s">
        <v>73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483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79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82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84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87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89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91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95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103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121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122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127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129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137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895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897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138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141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143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'[10]JANUARY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144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145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149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153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898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155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157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899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160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163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900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902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166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904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905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170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171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173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174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178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182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183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906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185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189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'[10]JANUARY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196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200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202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120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204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995</v>
      </c>
      <c r="AC79" s="179"/>
      <c r="AD79" s="179"/>
      <c r="AE79" s="179"/>
    </row>
    <row r="80" spans="1:31" ht="18.75">
      <c r="A80" s="498">
        <v>68</v>
      </c>
      <c r="B80" s="9" t="s">
        <v>207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207</v>
      </c>
      <c r="AD80" s="179"/>
      <c r="AE80" s="179"/>
    </row>
    <row r="81" spans="1:31" s="494" customFormat="1" ht="18.75">
      <c r="A81" s="502">
        <v>69</v>
      </c>
      <c r="B81" s="9" t="s">
        <v>205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'[10]JANUARY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205</v>
      </c>
      <c r="AD81" s="510"/>
      <c r="AE81" s="510"/>
    </row>
    <row r="82" spans="1:31" s="494" customFormat="1" ht="37.5">
      <c r="A82" s="502">
        <v>70</v>
      </c>
      <c r="B82" s="9" t="s">
        <v>210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210</v>
      </c>
      <c r="AD82" s="510"/>
      <c r="AE82" s="510"/>
    </row>
    <row r="83" spans="1:31" ht="18.75">
      <c r="A83" s="498">
        <v>71</v>
      </c>
      <c r="B83" s="9" t="s">
        <v>211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211</v>
      </c>
      <c r="AD83" s="179"/>
      <c r="AE83" s="179"/>
    </row>
    <row r="84" spans="1:31" ht="18.75">
      <c r="A84" s="498">
        <v>72</v>
      </c>
      <c r="B84" s="9" t="s">
        <v>212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212</v>
      </c>
      <c r="AD84" s="179"/>
      <c r="AE84" s="179"/>
    </row>
    <row r="85" spans="1:31" s="494" customFormat="1" ht="37.5">
      <c r="A85" s="502">
        <v>73</v>
      </c>
      <c r="B85" s="9" t="s">
        <v>213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213</v>
      </c>
      <c r="AD85" s="510"/>
      <c r="AE85" s="510"/>
    </row>
    <row r="86" spans="1:31" ht="18.75">
      <c r="A86" s="498">
        <v>74</v>
      </c>
      <c r="B86" s="9" t="s">
        <v>215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215</v>
      </c>
      <c r="AD86" s="179"/>
      <c r="AE86" s="179"/>
    </row>
    <row r="87" spans="1:31" ht="24" customHeight="1">
      <c r="A87" s="498">
        <v>75</v>
      </c>
      <c r="B87" s="9" t="s">
        <v>216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'[10]JANUARY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216</v>
      </c>
      <c r="AD87" s="179"/>
      <c r="AE87" s="179"/>
    </row>
    <row r="88" spans="1:31" ht="18.75">
      <c r="A88" s="498">
        <v>76</v>
      </c>
      <c r="B88" s="9" t="s">
        <v>220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220</v>
      </c>
      <c r="AD88" s="179"/>
      <c r="AE88" s="179"/>
    </row>
    <row r="89" spans="1:31" ht="18.75">
      <c r="A89" s="498"/>
      <c r="B89" s="9" t="s">
        <v>224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224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226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227</v>
      </c>
      <c r="C93" s="424">
        <v>541465.02474999998</v>
      </c>
      <c r="D93" s="423">
        <v>12</v>
      </c>
      <c r="E93" s="424">
        <f>C93*D93</f>
        <v>6497580.2970000003</v>
      </c>
      <c r="F93" s="424">
        <f>'[10]JANUARY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227</v>
      </c>
      <c r="AD93" s="510"/>
      <c r="AE93" s="510"/>
    </row>
    <row r="94" spans="1:31" ht="18.75">
      <c r="A94" s="498">
        <v>80</v>
      </c>
      <c r="B94" s="9" t="s">
        <v>229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229</v>
      </c>
      <c r="AD94" s="179"/>
      <c r="AE94" s="179"/>
    </row>
    <row r="95" spans="1:31" ht="37.5">
      <c r="A95" s="498">
        <v>81</v>
      </c>
      <c r="B95" s="9" t="s">
        <v>235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235</v>
      </c>
      <c r="AD95" s="179"/>
      <c r="AE95" s="179"/>
    </row>
    <row r="96" spans="1:31" ht="18.75">
      <c r="A96" s="498"/>
      <c r="B96" s="9" t="s">
        <v>236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236</v>
      </c>
      <c r="AD96" s="179"/>
      <c r="AE96" s="179"/>
    </row>
    <row r="97" spans="1:31" ht="18.75">
      <c r="A97" s="498"/>
      <c r="B97" s="18" t="s">
        <v>120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239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866</v>
      </c>
      <c r="AC99" s="179"/>
      <c r="AD99" s="179"/>
      <c r="AE99" s="179"/>
    </row>
    <row r="100" spans="1:31" ht="18.75">
      <c r="A100" s="498">
        <v>85</v>
      </c>
      <c r="B100" s="9" t="s">
        <v>628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628</v>
      </c>
      <c r="AD100" s="179"/>
      <c r="AE100" s="179"/>
    </row>
    <row r="101" spans="1:31" ht="18.75">
      <c r="A101" s="498">
        <v>86</v>
      </c>
      <c r="B101" s="9" t="s">
        <v>242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'[10]JANUARY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242</v>
      </c>
      <c r="AD101" s="179"/>
      <c r="AE101" s="179"/>
    </row>
    <row r="102" spans="1:31" ht="18.75">
      <c r="A102" s="498">
        <v>87</v>
      </c>
      <c r="B102" s="9" t="s">
        <v>244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'[10]JANUARY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244</v>
      </c>
      <c r="AD102" s="179"/>
      <c r="AE102" s="179"/>
    </row>
    <row r="103" spans="1:31" ht="18.75">
      <c r="A103" s="498">
        <v>88</v>
      </c>
      <c r="B103" s="9" t="s">
        <v>246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246</v>
      </c>
      <c r="AD103" s="179"/>
      <c r="AE103" s="179"/>
    </row>
    <row r="104" spans="1:31" ht="18.75">
      <c r="A104" s="498">
        <v>89</v>
      </c>
      <c r="B104" s="9" t="s">
        <v>249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249</v>
      </c>
      <c r="AD104" s="179"/>
      <c r="AE104" s="179"/>
    </row>
    <row r="105" spans="1:31" ht="37.5">
      <c r="A105" s="498"/>
      <c r="B105" s="16" t="s">
        <v>252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252</v>
      </c>
      <c r="AD105" s="179"/>
      <c r="AE105" s="179"/>
    </row>
    <row r="106" spans="1:31" ht="18.75">
      <c r="A106" s="498"/>
      <c r="B106" s="16" t="s">
        <v>253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253</v>
      </c>
      <c r="AD106" s="179"/>
      <c r="AE106" s="179"/>
    </row>
    <row r="107" spans="1:31" ht="18.75">
      <c r="A107" s="498"/>
      <c r="B107" s="18" t="s">
        <v>120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257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164</v>
      </c>
      <c r="C110" s="424">
        <v>516137.05</v>
      </c>
      <c r="D110" s="423">
        <v>12</v>
      </c>
      <c r="E110" s="424">
        <f>C110*D110</f>
        <v>6193644.5999999996</v>
      </c>
      <c r="F110" s="424">
        <f>'[10]JANUARY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259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192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'[10]JANUARY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280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281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283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285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913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288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289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291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294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296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298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120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301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914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916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305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307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309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311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231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314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315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317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319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62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321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323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324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326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327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329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331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333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335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336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338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345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347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349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351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352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361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364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642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365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366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367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369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370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371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372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359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373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375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376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378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380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381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382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383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384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385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387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644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388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360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394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398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401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402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403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406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1136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1137</v>
      </c>
      <c r="AB190" s="517">
        <f>AB81+AB82+AB83+AB84+AB86+AB88+AB89+AB94+AB95+AB96+AB102+AB103+AB104+AB105+AB106</f>
        <v>-351613.55740448099</v>
      </c>
    </row>
    <row r="191" spans="2:28" ht="15">
      <c r="X191" s="257" t="s">
        <v>1138</v>
      </c>
      <c r="AB191" s="518">
        <f>AB87+AB85+AB74+AB61+AB21+AB19+AB18+AB16+AB15</f>
        <v>126852.23813</v>
      </c>
    </row>
    <row r="192" spans="2:28" ht="15">
      <c r="X192" s="257" t="s">
        <v>1139</v>
      </c>
      <c r="AB192" s="519">
        <f>SUM(AB190:AB191)</f>
        <v>-224761.31927448101</v>
      </c>
    </row>
    <row r="193" spans="24:28" ht="15">
      <c r="X193" s="257" t="s">
        <v>1140</v>
      </c>
      <c r="AB193" s="520">
        <f>-6517.49</f>
        <v>-6517.49</v>
      </c>
    </row>
    <row r="194" spans="24:28" ht="24.75" customHeight="1">
      <c r="X194" s="257" t="s">
        <v>665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22</v>
      </c>
      <c r="B2" s="485" t="s">
        <v>470</v>
      </c>
      <c r="C2" s="486" t="s">
        <v>1141</v>
      </c>
      <c r="D2" s="486" t="s">
        <v>1142</v>
      </c>
      <c r="E2" s="486" t="s">
        <v>1143</v>
      </c>
      <c r="F2" s="487"/>
    </row>
    <row r="3" spans="1:6" ht="18.75">
      <c r="A3" s="485"/>
      <c r="B3" s="485"/>
      <c r="C3" s="486" t="s">
        <v>21</v>
      </c>
      <c r="D3" s="486" t="s">
        <v>21</v>
      </c>
      <c r="E3" s="486" t="s">
        <v>21</v>
      </c>
      <c r="F3" s="487"/>
    </row>
    <row r="4" spans="1:6" ht="18.75">
      <c r="A4" s="488">
        <v>1</v>
      </c>
      <c r="B4" s="489" t="s">
        <v>205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210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211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212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215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220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224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229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235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236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244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246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249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252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253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120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1176" t="s">
        <v>0</v>
      </c>
      <c r="B1" s="1176"/>
      <c r="C1" s="1176"/>
      <c r="D1" s="1176"/>
      <c r="E1" s="1176"/>
      <c r="F1" s="1176"/>
      <c r="G1" s="183"/>
      <c r="H1" s="183"/>
      <c r="I1" s="183"/>
      <c r="J1" s="183"/>
      <c r="K1" s="183"/>
      <c r="L1" s="183"/>
    </row>
    <row r="2" spans="1:16" ht="33.75" customHeight="1">
      <c r="A2" s="459" t="s">
        <v>1144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814</v>
      </c>
      <c r="F4" s="184" t="s">
        <v>1124</v>
      </c>
      <c r="G4" s="184" t="s">
        <v>1125</v>
      </c>
      <c r="H4" s="184" t="s">
        <v>1126</v>
      </c>
      <c r="I4" s="184" t="s">
        <v>8</v>
      </c>
      <c r="J4" s="462" t="s">
        <v>1031</v>
      </c>
      <c r="K4" s="462" t="s">
        <v>1127</v>
      </c>
      <c r="L4" s="462" t="s">
        <v>1128</v>
      </c>
      <c r="M4" s="463" t="s">
        <v>1129</v>
      </c>
      <c r="N4" s="463" t="s">
        <v>1130</v>
      </c>
      <c r="O4" s="463" t="s">
        <v>1131</v>
      </c>
    </row>
    <row r="5" spans="1:16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464"/>
      <c r="K5" s="464"/>
      <c r="L5" s="464"/>
      <c r="M5" s="465" t="s">
        <v>21</v>
      </c>
      <c r="N5" s="465"/>
      <c r="O5" s="465"/>
    </row>
    <row r="6" spans="1:16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302</v>
      </c>
      <c r="C11" s="2" t="s">
        <v>1115</v>
      </c>
      <c r="D11" s="8" t="s">
        <v>29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891</v>
      </c>
      <c r="C12" s="8" t="s">
        <v>892</v>
      </c>
      <c r="D12" s="8" t="s">
        <v>29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40</v>
      </c>
      <c r="C15" s="2" t="s">
        <v>619</v>
      </c>
      <c r="D15" s="13" t="s">
        <v>191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43</v>
      </c>
      <c r="C16" s="15" t="s">
        <v>52</v>
      </c>
      <c r="D16" s="13" t="s">
        <v>47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45</v>
      </c>
      <c r="C17" s="2" t="s">
        <v>46</v>
      </c>
      <c r="D17" s="8" t="s">
        <v>53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48</v>
      </c>
      <c r="C18" s="2" t="s">
        <v>894</v>
      </c>
      <c r="D18" s="8" t="s">
        <v>56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51</v>
      </c>
      <c r="C19" s="10" t="s">
        <v>61</v>
      </c>
      <c r="D19" s="13" t="s">
        <v>575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54</v>
      </c>
      <c r="C20" s="2" t="s">
        <v>1116</v>
      </c>
      <c r="D20" s="13" t="s">
        <v>59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65</v>
      </c>
      <c r="C21" s="10" t="s">
        <v>177</v>
      </c>
      <c r="D21" s="13" t="s">
        <v>70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68</v>
      </c>
      <c r="C22" s="15" t="s">
        <v>1117</v>
      </c>
      <c r="D22" s="8" t="s">
        <v>179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71</v>
      </c>
      <c r="C23" s="15" t="s">
        <v>72</v>
      </c>
      <c r="D23" s="13" t="s">
        <v>179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73</v>
      </c>
      <c r="C24" s="15" t="s">
        <v>74</v>
      </c>
      <c r="D24" s="8" t="s">
        <v>81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483</v>
      </c>
      <c r="C25" s="2" t="s">
        <v>94</v>
      </c>
      <c r="D25" s="8" t="s">
        <v>86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79</v>
      </c>
      <c r="C26" s="10" t="s">
        <v>94</v>
      </c>
      <c r="D26" s="13" t="s">
        <v>86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82</v>
      </c>
      <c r="C27" s="15" t="s">
        <v>69</v>
      </c>
      <c r="D27" s="8" t="s">
        <v>86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84</v>
      </c>
      <c r="C28" s="10" t="s">
        <v>85</v>
      </c>
      <c r="D28" s="13" t="s">
        <v>99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87</v>
      </c>
      <c r="C29" s="2" t="s">
        <v>88</v>
      </c>
      <c r="D29" s="8" t="s">
        <v>225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89</v>
      </c>
      <c r="C30" s="2" t="s">
        <v>88</v>
      </c>
      <c r="D30" s="8" t="s">
        <v>225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91</v>
      </c>
      <c r="C31" s="15" t="s">
        <v>622</v>
      </c>
      <c r="D31" s="13" t="s">
        <v>86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95</v>
      </c>
      <c r="C32" s="2" t="s">
        <v>623</v>
      </c>
      <c r="D32" s="8" t="s">
        <v>108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103</v>
      </c>
      <c r="C33" s="10" t="s">
        <v>104</v>
      </c>
      <c r="D33" s="13" t="s">
        <v>111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120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121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122</v>
      </c>
      <c r="C37" s="2" t="s">
        <v>123</v>
      </c>
      <c r="D37" s="8" t="s">
        <v>124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127</v>
      </c>
      <c r="C38" s="2" t="s">
        <v>1118</v>
      </c>
      <c r="D38" s="8" t="s">
        <v>81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129</v>
      </c>
      <c r="C39" s="10" t="s">
        <v>1119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137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138</v>
      </c>
      <c r="C45" s="2" t="s">
        <v>624</v>
      </c>
      <c r="D45" s="8" t="s">
        <v>209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143</v>
      </c>
      <c r="C47" s="2" t="s">
        <v>142</v>
      </c>
      <c r="D47" s="8" t="s">
        <v>39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144</v>
      </c>
      <c r="C48" s="2" t="s">
        <v>142</v>
      </c>
      <c r="D48" s="8" t="s">
        <v>42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153</v>
      </c>
      <c r="C51" s="2" t="s">
        <v>150</v>
      </c>
      <c r="D51" s="8" t="s">
        <v>99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898</v>
      </c>
      <c r="C52" s="2" t="s">
        <v>150</v>
      </c>
      <c r="D52" s="8" t="s">
        <v>99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155</v>
      </c>
      <c r="C53" s="2" t="s">
        <v>150</v>
      </c>
      <c r="D53" s="8" t="s">
        <v>99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120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157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899</v>
      </c>
      <c r="C57" s="10" t="s">
        <v>159</v>
      </c>
      <c r="D57" s="13" t="s">
        <v>124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160</v>
      </c>
      <c r="C58" s="10" t="s">
        <v>161</v>
      </c>
      <c r="D58" s="13" t="s">
        <v>162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120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163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900</v>
      </c>
      <c r="C62" s="15" t="s">
        <v>901</v>
      </c>
      <c r="D62" s="8" t="s">
        <v>124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902</v>
      </c>
      <c r="C63" s="15" t="s">
        <v>903</v>
      </c>
      <c r="D63" s="13" t="s">
        <v>50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166</v>
      </c>
      <c r="C64" s="2" t="s">
        <v>52</v>
      </c>
      <c r="D64" s="8" t="s">
        <v>53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904</v>
      </c>
      <c r="C65" s="15" t="s">
        <v>217</v>
      </c>
      <c r="D65" s="13" t="s">
        <v>575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905</v>
      </c>
      <c r="C66" s="15" t="s">
        <v>52</v>
      </c>
      <c r="D66" s="13" t="s">
        <v>191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170</v>
      </c>
      <c r="C67" s="2" t="s">
        <v>150</v>
      </c>
      <c r="D67" s="8" t="s">
        <v>131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171</v>
      </c>
      <c r="C68" s="15" t="s">
        <v>72</v>
      </c>
      <c r="D68" s="8" t="s">
        <v>131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173</v>
      </c>
      <c r="C69" s="15" t="s">
        <v>72</v>
      </c>
      <c r="D69" s="8" t="s">
        <v>131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174</v>
      </c>
      <c r="C70" s="2" t="s">
        <v>625</v>
      </c>
      <c r="D70" s="8" t="s">
        <v>70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120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182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183</v>
      </c>
      <c r="C75" s="2" t="s">
        <v>184</v>
      </c>
      <c r="D75" s="8" t="s">
        <v>124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906</v>
      </c>
      <c r="C76" s="2" t="s">
        <v>907</v>
      </c>
      <c r="D76" s="13" t="s">
        <v>908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185</v>
      </c>
      <c r="C77" s="10" t="s">
        <v>909</v>
      </c>
      <c r="D77" s="8" t="s">
        <v>162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189</v>
      </c>
      <c r="C78" s="2" t="s">
        <v>190</v>
      </c>
      <c r="D78" s="13" t="s">
        <v>214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196</v>
      </c>
      <c r="C79" s="2" t="s">
        <v>181</v>
      </c>
      <c r="D79" s="8" t="s">
        <v>78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200</v>
      </c>
      <c r="C80" s="2" t="s">
        <v>181</v>
      </c>
      <c r="D80" s="8" t="s">
        <v>99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202</v>
      </c>
      <c r="C81" s="2" t="s">
        <v>203</v>
      </c>
      <c r="D81" s="8" t="s">
        <v>111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120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204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207</v>
      </c>
      <c r="C85" s="2" t="s">
        <v>142</v>
      </c>
      <c r="D85" s="8" t="s">
        <v>39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205</v>
      </c>
      <c r="C86" s="2" t="s">
        <v>142</v>
      </c>
      <c r="D86" s="8" t="s">
        <v>39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210</v>
      </c>
      <c r="C87" s="2" t="s">
        <v>142</v>
      </c>
      <c r="D87" s="8" t="s">
        <v>42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211</v>
      </c>
      <c r="C88" s="2" t="s">
        <v>910</v>
      </c>
      <c r="D88" s="13" t="s">
        <v>56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212</v>
      </c>
      <c r="C89" s="10" t="s">
        <v>217</v>
      </c>
      <c r="D89" s="13" t="s">
        <v>575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213</v>
      </c>
      <c r="C90" s="10" t="s">
        <v>52</v>
      </c>
      <c r="D90" s="13" t="s">
        <v>574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215</v>
      </c>
      <c r="C91" s="15" t="s">
        <v>72</v>
      </c>
      <c r="D91" s="13" t="s">
        <v>131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216</v>
      </c>
      <c r="C92" s="15" t="s">
        <v>217</v>
      </c>
      <c r="D92" s="13" t="s">
        <v>67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220</v>
      </c>
      <c r="C93" s="2" t="s">
        <v>221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224</v>
      </c>
      <c r="C94" s="15" t="s">
        <v>554</v>
      </c>
      <c r="D94" s="13" t="s">
        <v>108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120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226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227</v>
      </c>
      <c r="C98" s="2" t="s">
        <v>626</v>
      </c>
      <c r="D98" s="14" t="s">
        <v>36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229</v>
      </c>
      <c r="C99" s="2" t="s">
        <v>230</v>
      </c>
      <c r="D99" s="13" t="s">
        <v>214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235</v>
      </c>
      <c r="C100" s="2" t="s">
        <v>627</v>
      </c>
      <c r="D100" s="13" t="s">
        <v>70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236</v>
      </c>
      <c r="C101" s="2" t="s">
        <v>199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120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249</v>
      </c>
      <c r="C109" s="2" t="s">
        <v>250</v>
      </c>
      <c r="D109" s="13" t="s">
        <v>911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252</v>
      </c>
      <c r="C110" s="2" t="s">
        <v>250</v>
      </c>
      <c r="D110" s="8" t="s">
        <v>517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253</v>
      </c>
      <c r="C111" s="2" t="s">
        <v>250</v>
      </c>
      <c r="D111" s="13" t="s">
        <v>108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120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164</v>
      </c>
      <c r="C115" s="2" t="s">
        <v>142</v>
      </c>
      <c r="D115" s="8" t="s">
        <v>50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259</v>
      </c>
      <c r="C116" s="2" t="s">
        <v>260</v>
      </c>
      <c r="D116" s="13" t="s">
        <v>70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192</v>
      </c>
      <c r="C117" s="10" t="s">
        <v>912</v>
      </c>
      <c r="D117" s="13" t="s">
        <v>172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120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281</v>
      </c>
      <c r="C121" s="10" t="s">
        <v>282</v>
      </c>
      <c r="D121" s="13" t="s">
        <v>124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283</v>
      </c>
      <c r="C122" s="10" t="s">
        <v>630</v>
      </c>
      <c r="D122" s="13" t="s">
        <v>209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285</v>
      </c>
      <c r="C123" s="10" t="s">
        <v>631</v>
      </c>
      <c r="D123" s="13" t="s">
        <v>39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913</v>
      </c>
      <c r="C124" s="10" t="s">
        <v>631</v>
      </c>
      <c r="D124" s="13" t="s">
        <v>42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288</v>
      </c>
      <c r="C125" s="10" t="s">
        <v>290</v>
      </c>
      <c r="D125" s="13" t="s">
        <v>47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289</v>
      </c>
      <c r="C126" s="10" t="s">
        <v>632</v>
      </c>
      <c r="D126" s="13" t="s">
        <v>53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291</v>
      </c>
      <c r="C127" s="10" t="s">
        <v>290</v>
      </c>
      <c r="D127" s="13" t="s">
        <v>214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294</v>
      </c>
      <c r="C128" s="10" t="s">
        <v>633</v>
      </c>
      <c r="D128" s="8" t="s">
        <v>86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296</v>
      </c>
      <c r="C129" s="10" t="s">
        <v>297</v>
      </c>
      <c r="D129" s="13" t="s">
        <v>111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298</v>
      </c>
      <c r="C130" s="10" t="s">
        <v>293</v>
      </c>
      <c r="D130" s="13" t="s">
        <v>111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120</v>
      </c>
      <c r="C131" s="24" t="s">
        <v>634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914</v>
      </c>
      <c r="C134" s="10" t="s">
        <v>915</v>
      </c>
      <c r="D134" s="13" t="s">
        <v>124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916</v>
      </c>
      <c r="C135" s="10" t="s">
        <v>917</v>
      </c>
      <c r="D135" s="13" t="s">
        <v>36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305</v>
      </c>
      <c r="C136" s="2" t="s">
        <v>306</v>
      </c>
      <c r="D136" s="14" t="s">
        <v>36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307</v>
      </c>
      <c r="C137" s="10" t="s">
        <v>918</v>
      </c>
      <c r="D137" s="13" t="s">
        <v>191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309</v>
      </c>
      <c r="C138" s="2" t="s">
        <v>313</v>
      </c>
      <c r="D138" s="13" t="s">
        <v>191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311</v>
      </c>
      <c r="C139" s="2" t="s">
        <v>313</v>
      </c>
      <c r="D139" s="13" t="s">
        <v>191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231</v>
      </c>
      <c r="C140" s="10" t="s">
        <v>919</v>
      </c>
      <c r="D140" s="13" t="s">
        <v>172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314</v>
      </c>
      <c r="C141" s="10" t="s">
        <v>919</v>
      </c>
      <c r="D141" s="13" t="s">
        <v>172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315</v>
      </c>
      <c r="C142" s="2" t="s">
        <v>920</v>
      </c>
      <c r="D142" s="13" t="s">
        <v>172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317</v>
      </c>
      <c r="C143" s="10" t="s">
        <v>636</v>
      </c>
      <c r="D143" s="13" t="s">
        <v>70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319</v>
      </c>
      <c r="C144" s="10" t="s">
        <v>320</v>
      </c>
      <c r="D144" s="13" t="s">
        <v>131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62</v>
      </c>
      <c r="C145" s="10" t="s">
        <v>921</v>
      </c>
      <c r="D145" s="13" t="s">
        <v>172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321</v>
      </c>
      <c r="C146" s="2" t="s">
        <v>322</v>
      </c>
      <c r="D146" s="13" t="s">
        <v>179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323</v>
      </c>
      <c r="C147" s="2" t="s">
        <v>922</v>
      </c>
      <c r="D147" s="13" t="s">
        <v>78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324</v>
      </c>
      <c r="C148" s="2" t="s">
        <v>922</v>
      </c>
      <c r="D148" s="13" t="s">
        <v>151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326</v>
      </c>
      <c r="C149" s="2" t="s">
        <v>922</v>
      </c>
      <c r="D149" s="13" t="s">
        <v>151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329</v>
      </c>
      <c r="C151" s="10" t="s">
        <v>330</v>
      </c>
      <c r="D151" s="8" t="s">
        <v>99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331</v>
      </c>
      <c r="C152" s="10" t="s">
        <v>637</v>
      </c>
      <c r="D152" s="13" t="s">
        <v>78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333</v>
      </c>
      <c r="C153" s="10" t="s">
        <v>638</v>
      </c>
      <c r="D153" s="13" t="s">
        <v>86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335</v>
      </c>
      <c r="C154" s="10" t="s">
        <v>639</v>
      </c>
      <c r="D154" s="13" t="s">
        <v>78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336</v>
      </c>
      <c r="C155" s="10" t="s">
        <v>640</v>
      </c>
      <c r="D155" s="13" t="s">
        <v>86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338</v>
      </c>
      <c r="C156" s="10" t="s">
        <v>339</v>
      </c>
      <c r="D156" s="13" t="s">
        <v>225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345</v>
      </c>
      <c r="C157" s="10" t="s">
        <v>346</v>
      </c>
      <c r="D157" s="13" t="s">
        <v>111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347</v>
      </c>
      <c r="C158" s="10" t="s">
        <v>348</v>
      </c>
      <c r="D158" s="13" t="s">
        <v>111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349</v>
      </c>
      <c r="C159" s="10" t="s">
        <v>350</v>
      </c>
      <c r="D159" s="13" t="s">
        <v>111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351</v>
      </c>
      <c r="C160" s="10" t="s">
        <v>641</v>
      </c>
      <c r="D160" s="13" t="s">
        <v>108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352</v>
      </c>
      <c r="C161" s="10" t="s">
        <v>348</v>
      </c>
      <c r="D161" s="13" t="s">
        <v>111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361</v>
      </c>
      <c r="C162" s="10" t="s">
        <v>556</v>
      </c>
      <c r="D162" s="13" t="s">
        <v>386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364</v>
      </c>
      <c r="C163" s="10" t="s">
        <v>556</v>
      </c>
      <c r="D163" s="13" t="s">
        <v>386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642</v>
      </c>
      <c r="C164" s="10" t="s">
        <v>556</v>
      </c>
      <c r="D164" s="13" t="s">
        <v>386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365</v>
      </c>
      <c r="C165" s="10" t="s">
        <v>556</v>
      </c>
      <c r="D165" s="13" t="s">
        <v>386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366</v>
      </c>
      <c r="C166" s="10" t="s">
        <v>556</v>
      </c>
      <c r="D166" s="13" t="s">
        <v>386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367</v>
      </c>
      <c r="C167" s="10" t="s">
        <v>556</v>
      </c>
      <c r="D167" s="13" t="s">
        <v>379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369</v>
      </c>
      <c r="C168" s="10" t="s">
        <v>556</v>
      </c>
      <c r="D168" s="13" t="s">
        <v>379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370</v>
      </c>
      <c r="C169" s="10" t="s">
        <v>556</v>
      </c>
      <c r="D169" s="13" t="s">
        <v>379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371</v>
      </c>
      <c r="C170" s="10" t="s">
        <v>556</v>
      </c>
      <c r="D170" s="13" t="s">
        <v>379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372</v>
      </c>
      <c r="C171" s="10" t="s">
        <v>556</v>
      </c>
      <c r="D171" s="13" t="s">
        <v>379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359</v>
      </c>
      <c r="C172" s="10" t="s">
        <v>556</v>
      </c>
      <c r="D172" s="13" t="s">
        <v>379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373</v>
      </c>
      <c r="C173" s="10" t="s">
        <v>362</v>
      </c>
      <c r="D173" s="13" t="s">
        <v>583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375</v>
      </c>
      <c r="C174" s="10" t="s">
        <v>362</v>
      </c>
      <c r="D174" s="13" t="s">
        <v>583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376</v>
      </c>
      <c r="C175" s="10" t="s">
        <v>362</v>
      </c>
      <c r="D175" s="13" t="s">
        <v>582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378</v>
      </c>
      <c r="C176" s="10" t="s">
        <v>389</v>
      </c>
      <c r="D176" s="13" t="s">
        <v>584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380</v>
      </c>
      <c r="C177" s="10" t="s">
        <v>558</v>
      </c>
      <c r="D177" s="13" t="s">
        <v>645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381</v>
      </c>
      <c r="C178" s="10" t="s">
        <v>558</v>
      </c>
      <c r="D178" s="13" t="s">
        <v>645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382</v>
      </c>
      <c r="C179" s="10" t="s">
        <v>558</v>
      </c>
      <c r="D179" s="13" t="s">
        <v>645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383</v>
      </c>
      <c r="C180" s="10" t="s">
        <v>558</v>
      </c>
      <c r="D180" s="13" t="s">
        <v>645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384</v>
      </c>
      <c r="C181" s="10" t="s">
        <v>558</v>
      </c>
      <c r="D181" s="13" t="s">
        <v>645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385</v>
      </c>
      <c r="C182" s="10" t="s">
        <v>558</v>
      </c>
      <c r="D182" s="13" t="s">
        <v>645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387</v>
      </c>
      <c r="C183" s="10" t="s">
        <v>558</v>
      </c>
      <c r="D183" s="13" t="s">
        <v>645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644</v>
      </c>
      <c r="C184" s="10" t="s">
        <v>389</v>
      </c>
      <c r="D184" s="13" t="s">
        <v>645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388</v>
      </c>
      <c r="C185" s="10" t="s">
        <v>389</v>
      </c>
      <c r="D185" s="13" t="s">
        <v>645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360</v>
      </c>
      <c r="C186" s="10" t="s">
        <v>392</v>
      </c>
      <c r="D186" s="13" t="s">
        <v>393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394</v>
      </c>
      <c r="C187" s="10" t="s">
        <v>558</v>
      </c>
      <c r="D187" s="13" t="s">
        <v>400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398</v>
      </c>
      <c r="C188" s="10" t="s">
        <v>399</v>
      </c>
      <c r="D188" s="13" t="s">
        <v>923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401</v>
      </c>
      <c r="C189" s="10" t="s">
        <v>399</v>
      </c>
      <c r="D189" s="13" t="s">
        <v>923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402</v>
      </c>
      <c r="C190" s="10" t="s">
        <v>399</v>
      </c>
      <c r="D190" s="13" t="s">
        <v>923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403</v>
      </c>
      <c r="C191" s="10" t="s">
        <v>404</v>
      </c>
      <c r="D191" s="13" t="s">
        <v>395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406</v>
      </c>
      <c r="C192" s="10" t="s">
        <v>404</v>
      </c>
      <c r="D192" s="13" t="s">
        <v>395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120</v>
      </c>
      <c r="C193" s="26" t="s">
        <v>924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408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136" t="s">
        <v>0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1136"/>
      <c r="W1" s="1136"/>
      <c r="X1" s="1136"/>
      <c r="Y1" s="1136"/>
      <c r="Z1" s="432"/>
    </row>
    <row r="2" spans="1:31" hidden="1">
      <c r="A2" s="1138" t="s">
        <v>467</v>
      </c>
      <c r="B2" s="1138"/>
      <c r="C2" s="1138"/>
      <c r="D2" s="1138"/>
      <c r="E2" s="1138"/>
      <c r="F2" s="1138"/>
      <c r="G2" s="1138"/>
      <c r="H2" s="1138"/>
      <c r="I2" s="1138"/>
      <c r="J2" s="1138"/>
      <c r="K2" s="1138"/>
      <c r="L2" s="1138"/>
      <c r="M2" s="1138"/>
      <c r="N2" s="1138"/>
      <c r="O2" s="1138"/>
      <c r="P2" s="1138"/>
      <c r="Q2" s="1138"/>
      <c r="R2" s="1138"/>
      <c r="S2" s="1138"/>
      <c r="T2" s="1138"/>
      <c r="U2" s="1138"/>
      <c r="V2" s="1138"/>
      <c r="W2" s="1138"/>
      <c r="X2" s="1138"/>
      <c r="Y2" s="1138"/>
      <c r="Z2" s="432"/>
    </row>
    <row r="3" spans="1:31" hidden="1">
      <c r="A3" s="1140" t="s">
        <v>468</v>
      </c>
      <c r="B3" s="1136"/>
      <c r="C3" s="1136"/>
      <c r="D3" s="1136"/>
      <c r="E3" s="1136"/>
      <c r="F3" s="1136"/>
      <c r="G3" s="1136"/>
      <c r="H3" s="1136"/>
      <c r="I3" s="1136"/>
      <c r="J3" s="1136"/>
      <c r="K3" s="1136"/>
      <c r="L3" s="1136"/>
      <c r="M3" s="1136"/>
      <c r="N3" s="1136"/>
      <c r="O3" s="1136"/>
      <c r="P3" s="1136"/>
      <c r="Q3" s="1136"/>
      <c r="R3" s="1136"/>
      <c r="S3" s="1136"/>
      <c r="T3" s="1136"/>
      <c r="U3" s="1136"/>
      <c r="V3" s="1136"/>
      <c r="W3" s="1136"/>
      <c r="X3" s="1136"/>
      <c r="Y3" s="1136"/>
      <c r="Z3" s="432"/>
    </row>
    <row r="4" spans="1:31" ht="83.25" customHeight="1">
      <c r="A4" s="418" t="s">
        <v>469</v>
      </c>
      <c r="B4" s="419" t="s">
        <v>470</v>
      </c>
      <c r="C4" s="420" t="s">
        <v>667</v>
      </c>
      <c r="D4" s="419" t="s">
        <v>471</v>
      </c>
      <c r="E4" s="420" t="s">
        <v>472</v>
      </c>
      <c r="F4" s="420" t="s">
        <v>474</v>
      </c>
      <c r="G4" s="420" t="s">
        <v>475</v>
      </c>
      <c r="H4" s="420" t="s">
        <v>476</v>
      </c>
      <c r="I4" s="420" t="s">
        <v>668</v>
      </c>
      <c r="J4" s="420"/>
      <c r="K4" s="420"/>
      <c r="L4" s="420"/>
      <c r="M4" s="420" t="s">
        <v>669</v>
      </c>
      <c r="N4" s="420" t="s">
        <v>477</v>
      </c>
      <c r="O4" s="420" t="s">
        <v>478</v>
      </c>
      <c r="P4" s="420" t="s">
        <v>670</v>
      </c>
      <c r="Q4" s="420" t="s">
        <v>671</v>
      </c>
      <c r="R4" s="420" t="s">
        <v>672</v>
      </c>
      <c r="S4" s="420" t="s">
        <v>673</v>
      </c>
      <c r="T4" s="420" t="s">
        <v>674</v>
      </c>
      <c r="U4" s="420" t="s">
        <v>675</v>
      </c>
      <c r="V4" s="420" t="s">
        <v>479</v>
      </c>
      <c r="W4" s="420"/>
      <c r="X4" s="420" t="s">
        <v>480</v>
      </c>
      <c r="Y4" s="420" t="s">
        <v>676</v>
      </c>
      <c r="Z4" s="433" t="s">
        <v>677</v>
      </c>
      <c r="AA4" s="434"/>
      <c r="AB4" s="434" t="s">
        <v>866</v>
      </c>
    </row>
    <row r="5" spans="1:31" ht="18.75">
      <c r="A5" s="421">
        <v>1</v>
      </c>
      <c r="B5" s="6" t="s">
        <v>23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24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27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30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32</v>
      </c>
      <c r="C9" s="422">
        <v>942373.16666666698</v>
      </c>
      <c r="D9" s="423">
        <v>12</v>
      </c>
      <c r="E9" s="424">
        <f t="shared" si="14"/>
        <v>11308478</v>
      </c>
      <c r="F9" s="424">
        <f>'[10]JANUARY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1002373.16666667</v>
      </c>
      <c r="D10" s="423">
        <v>12</v>
      </c>
      <c r="E10" s="424">
        <f t="shared" si="14"/>
        <v>12028478</v>
      </c>
      <c r="F10" s="424">
        <f>'[10]JANUARY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891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34</v>
      </c>
      <c r="C12" s="422">
        <v>750675.58333333302</v>
      </c>
      <c r="D12" s="423">
        <v>12</v>
      </c>
      <c r="E12" s="424">
        <f t="shared" si="14"/>
        <v>9008107</v>
      </c>
      <c r="F12" s="424">
        <f>'[10]JANUARY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37</v>
      </c>
      <c r="C13" s="422">
        <v>842118.08333333302</v>
      </c>
      <c r="D13" s="423">
        <v>12</v>
      </c>
      <c r="E13" s="424">
        <f t="shared" si="14"/>
        <v>10105417</v>
      </c>
      <c r="F13" s="424">
        <f>'[10]JANUARY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40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43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45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48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51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54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65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68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71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73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483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82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84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87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95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103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121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122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127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129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137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895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897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138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141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9368107</v>
      </c>
      <c r="F44" s="424">
        <f>'[10]JANUARY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898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155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157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158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160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163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900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902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904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905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171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182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183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906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185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189</v>
      </c>
      <c r="C73" s="424">
        <v>596622.25</v>
      </c>
      <c r="D73" s="423">
        <v>12</v>
      </c>
      <c r="E73" s="424">
        <f t="shared" si="55"/>
        <v>7159467</v>
      </c>
      <c r="F73" s="424">
        <f>'[10]JANUARY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196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200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202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120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204</v>
      </c>
      <c r="C79" s="424"/>
      <c r="Z79" s="438"/>
      <c r="AB79" s="259" t="s">
        <v>995</v>
      </c>
      <c r="AC79" s="436"/>
      <c r="AD79" s="436"/>
      <c r="AE79" s="436"/>
    </row>
    <row r="80" spans="1:31" ht="18.75">
      <c r="A80" s="421">
        <v>68</v>
      </c>
      <c r="B80" s="9" t="s">
        <v>207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207</v>
      </c>
      <c r="AD80" s="436"/>
      <c r="AE80" s="436"/>
    </row>
    <row r="81" spans="1:31" ht="18.75">
      <c r="A81" s="421">
        <v>69</v>
      </c>
      <c r="B81" s="9" t="s">
        <v>205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'[10]JANUARY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205</v>
      </c>
      <c r="AD81" s="436"/>
      <c r="AE81" s="436"/>
    </row>
    <row r="82" spans="1:31" ht="37.5">
      <c r="A82" s="421">
        <v>70</v>
      </c>
      <c r="B82" s="9" t="s">
        <v>210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210</v>
      </c>
      <c r="AD82" s="436"/>
      <c r="AE82" s="436"/>
    </row>
    <row r="83" spans="1:31" ht="18.75">
      <c r="A83" s="421">
        <v>71</v>
      </c>
      <c r="B83" s="9" t="s">
        <v>211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211</v>
      </c>
      <c r="AD83" s="436"/>
      <c r="AE83" s="436"/>
    </row>
    <row r="84" spans="1:31" ht="18.75">
      <c r="A84" s="421">
        <v>72</v>
      </c>
      <c r="B84" s="9" t="s">
        <v>212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212</v>
      </c>
      <c r="AD84" s="436"/>
      <c r="AE84" s="436"/>
    </row>
    <row r="85" spans="1:31" ht="37.5">
      <c r="A85" s="421">
        <v>73</v>
      </c>
      <c r="B85" s="9" t="s">
        <v>213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213</v>
      </c>
      <c r="AD85" s="436"/>
      <c r="AE85" s="436"/>
    </row>
    <row r="86" spans="1:31" ht="18.75">
      <c r="A86" s="421">
        <v>74</v>
      </c>
      <c r="B86" s="9" t="s">
        <v>215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215</v>
      </c>
      <c r="AD86" s="436"/>
      <c r="AE86" s="436"/>
    </row>
    <row r="87" spans="1:31" ht="24" customHeight="1">
      <c r="A87" s="421">
        <v>75</v>
      </c>
      <c r="B87" s="9" t="s">
        <v>216</v>
      </c>
      <c r="C87" s="424">
        <v>510248.91666666698</v>
      </c>
      <c r="D87" s="423">
        <v>12</v>
      </c>
      <c r="E87" s="424">
        <f t="shared" si="81"/>
        <v>6122987</v>
      </c>
      <c r="F87" s="424">
        <f>'[10]JANUARY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216</v>
      </c>
      <c r="AD87" s="436"/>
      <c r="AE87" s="436"/>
    </row>
    <row r="88" spans="1:31" ht="18.75">
      <c r="A88" s="421">
        <v>76</v>
      </c>
      <c r="B88" s="9" t="s">
        <v>220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220</v>
      </c>
      <c r="AD88" s="436"/>
      <c r="AE88" s="436"/>
    </row>
    <row r="89" spans="1:31" ht="18.75">
      <c r="A89" s="421"/>
      <c r="B89" s="9" t="s">
        <v>224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224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226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227</v>
      </c>
      <c r="C93" s="424">
        <v>852373.16666666698</v>
      </c>
      <c r="D93" s="423">
        <v>12</v>
      </c>
      <c r="E93" s="424">
        <f>C93*D93</f>
        <v>10228478</v>
      </c>
      <c r="F93" s="424">
        <f>'[10]JANUARY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227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120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Z99" s="438"/>
      <c r="AB99" s="259" t="s">
        <v>866</v>
      </c>
      <c r="AC99" s="436"/>
      <c r="AD99" s="436"/>
      <c r="AE99" s="436"/>
    </row>
    <row r="100" spans="1:31" ht="18.75">
      <c r="A100" s="421">
        <v>85</v>
      </c>
      <c r="B100" s="9" t="s">
        <v>628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628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'[10]JANUARY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'[10]JANUARY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120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164</v>
      </c>
      <c r="C110" s="424">
        <v>761396.83333333302</v>
      </c>
      <c r="D110" s="423">
        <v>12</v>
      </c>
      <c r="E110" s="424">
        <f>C110*D110</f>
        <v>9136762</v>
      </c>
      <c r="F110" s="424">
        <f>'[10]JANUARY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192</v>
      </c>
      <c r="C112" s="430">
        <v>450086.5</v>
      </c>
      <c r="D112" s="423">
        <v>12</v>
      </c>
      <c r="E112" s="424">
        <f t="shared" si="104"/>
        <v>5401038</v>
      </c>
      <c r="F112" s="424">
        <f>'[10]JANUARY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913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120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914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916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62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361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364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642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365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366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367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369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370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371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372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359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375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376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378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380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381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382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383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384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385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387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644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388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360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394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398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401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402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403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406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996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997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1175" t="s">
        <v>0</v>
      </c>
      <c r="B1" s="1175"/>
      <c r="C1" s="1175"/>
      <c r="D1" s="1175"/>
      <c r="E1" s="1175"/>
      <c r="F1" s="1175"/>
    </row>
    <row r="2" spans="1:7" ht="20.25" customHeight="1">
      <c r="A2" s="1175" t="s">
        <v>1145</v>
      </c>
      <c r="B2" s="1175"/>
      <c r="C2" s="1175"/>
      <c r="D2" s="1175"/>
      <c r="E2" s="1175"/>
      <c r="F2" s="1175"/>
    </row>
    <row r="3" spans="1:7" ht="9.75" customHeight="1">
      <c r="A3" s="1175"/>
      <c r="B3" s="1175"/>
      <c r="C3" s="1175"/>
      <c r="D3" s="1175"/>
      <c r="E3" s="1175"/>
      <c r="F3" s="1175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1146</v>
      </c>
      <c r="F5" s="184" t="s">
        <v>17</v>
      </c>
    </row>
    <row r="6" spans="1:7" ht="17.25" customHeight="1">
      <c r="C6" s="6"/>
      <c r="D6" s="6"/>
      <c r="E6" s="67" t="s">
        <v>21</v>
      </c>
      <c r="F6" s="67" t="s">
        <v>21</v>
      </c>
    </row>
    <row r="7" spans="1:7" ht="20.100000000000001" customHeight="1">
      <c r="A7" s="7" t="s">
        <v>22</v>
      </c>
      <c r="B7" s="6" t="s">
        <v>23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24</v>
      </c>
      <c r="C8" s="10" t="s">
        <v>25</v>
      </c>
      <c r="D8" s="10" t="s">
        <v>26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27</v>
      </c>
      <c r="C9" s="10" t="s">
        <v>28</v>
      </c>
      <c r="D9" s="8" t="s">
        <v>29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30</v>
      </c>
      <c r="C10" s="2" t="s">
        <v>31</v>
      </c>
      <c r="D10" s="8" t="s">
        <v>29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32</v>
      </c>
      <c r="C11" s="15" t="s">
        <v>33</v>
      </c>
      <c r="D11" s="8" t="s">
        <v>29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302</v>
      </c>
      <c r="C12" s="2" t="s">
        <v>1115</v>
      </c>
      <c r="D12" s="8" t="s">
        <v>29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891</v>
      </c>
      <c r="C13" s="8" t="s">
        <v>892</v>
      </c>
      <c r="D13" s="8" t="s">
        <v>29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34</v>
      </c>
      <c r="C14" s="10" t="s">
        <v>893</v>
      </c>
      <c r="D14" s="13" t="s">
        <v>39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37</v>
      </c>
      <c r="C15" s="2" t="s">
        <v>38</v>
      </c>
      <c r="D15" s="8" t="s">
        <v>42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40</v>
      </c>
      <c r="C16" s="2" t="s">
        <v>619</v>
      </c>
      <c r="D16" s="13" t="s">
        <v>191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43</v>
      </c>
      <c r="C17" s="15" t="s">
        <v>52</v>
      </c>
      <c r="D17" s="13" t="s">
        <v>47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45</v>
      </c>
      <c r="C18" s="2" t="s">
        <v>46</v>
      </c>
      <c r="D18" s="8" t="s">
        <v>53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48</v>
      </c>
      <c r="C19" s="2" t="s">
        <v>894</v>
      </c>
      <c r="D19" s="8" t="s">
        <v>56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51</v>
      </c>
      <c r="C20" s="10" t="s">
        <v>61</v>
      </c>
      <c r="D20" s="13" t="s">
        <v>575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54</v>
      </c>
      <c r="C21" s="2" t="s">
        <v>1116</v>
      </c>
      <c r="D21" s="13" t="s">
        <v>59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65</v>
      </c>
      <c r="C22" s="10" t="s">
        <v>177</v>
      </c>
      <c r="D22" s="13" t="s">
        <v>70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68</v>
      </c>
      <c r="C23" s="15" t="s">
        <v>1117</v>
      </c>
      <c r="D23" s="8" t="s">
        <v>179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71</v>
      </c>
      <c r="C24" s="15" t="s">
        <v>72</v>
      </c>
      <c r="D24" s="13" t="s">
        <v>179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73</v>
      </c>
      <c r="C25" s="15" t="s">
        <v>74</v>
      </c>
      <c r="D25" s="8" t="s">
        <v>81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483</v>
      </c>
      <c r="C26" s="2" t="s">
        <v>94</v>
      </c>
      <c r="D26" s="8" t="s">
        <v>86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79</v>
      </c>
      <c r="C27" s="10" t="s">
        <v>94</v>
      </c>
      <c r="D27" s="13" t="s">
        <v>86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82</v>
      </c>
      <c r="C28" s="15" t="s">
        <v>69</v>
      </c>
      <c r="D28" s="8" t="s">
        <v>86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84</v>
      </c>
      <c r="C29" s="10" t="s">
        <v>85</v>
      </c>
      <c r="D29" s="13" t="s">
        <v>99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87</v>
      </c>
      <c r="C30" s="2" t="s">
        <v>88</v>
      </c>
      <c r="D30" s="8" t="s">
        <v>225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89</v>
      </c>
      <c r="C31" s="2" t="s">
        <v>88</v>
      </c>
      <c r="D31" s="8" t="s">
        <v>225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91</v>
      </c>
      <c r="C32" s="15" t="s">
        <v>622</v>
      </c>
      <c r="D32" s="13" t="s">
        <v>86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95</v>
      </c>
      <c r="C33" s="2" t="s">
        <v>623</v>
      </c>
      <c r="D33" s="8" t="s">
        <v>108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103</v>
      </c>
      <c r="C34" s="10" t="s">
        <v>104</v>
      </c>
      <c r="D34" s="13" t="s">
        <v>111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120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121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122</v>
      </c>
      <c r="C38" s="2" t="s">
        <v>123</v>
      </c>
      <c r="D38" s="8" t="s">
        <v>124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127</v>
      </c>
      <c r="C39" s="2" t="s">
        <v>1118</v>
      </c>
      <c r="D39" s="8" t="s">
        <v>81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129</v>
      </c>
      <c r="C40" s="10" t="s">
        <v>1119</v>
      </c>
      <c r="D40" s="13" t="s">
        <v>75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137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895</v>
      </c>
      <c r="C44" s="2" t="s">
        <v>896</v>
      </c>
      <c r="D44" s="8" t="s">
        <v>124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897</v>
      </c>
      <c r="C45" s="2" t="s">
        <v>44</v>
      </c>
      <c r="D45" s="8" t="s">
        <v>39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138</v>
      </c>
      <c r="C46" s="2" t="s">
        <v>624</v>
      </c>
      <c r="D46" s="8" t="s">
        <v>209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141</v>
      </c>
      <c r="C47" s="2" t="s">
        <v>142</v>
      </c>
      <c r="D47" s="8" t="s">
        <v>39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143</v>
      </c>
      <c r="C48" s="2" t="s">
        <v>142</v>
      </c>
      <c r="D48" s="8" t="s">
        <v>39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144</v>
      </c>
      <c r="C49" s="2" t="s">
        <v>142</v>
      </c>
      <c r="D49" s="8" t="s">
        <v>42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145</v>
      </c>
      <c r="C50" s="2" t="s">
        <v>52</v>
      </c>
      <c r="D50" s="14" t="s">
        <v>47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153</v>
      </c>
      <c r="C52" s="2" t="s">
        <v>150</v>
      </c>
      <c r="D52" s="8" t="s">
        <v>99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898</v>
      </c>
      <c r="C53" s="2" t="s">
        <v>150</v>
      </c>
      <c r="D53" s="8" t="s">
        <v>99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155</v>
      </c>
      <c r="C54" s="2" t="s">
        <v>150</v>
      </c>
      <c r="D54" s="8" t="s">
        <v>99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120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157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899</v>
      </c>
      <c r="C58" s="10" t="s">
        <v>159</v>
      </c>
      <c r="D58" s="13" t="s">
        <v>124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160</v>
      </c>
      <c r="C59" s="10" t="s">
        <v>161</v>
      </c>
      <c r="D59" s="13" t="s">
        <v>162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120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163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900</v>
      </c>
      <c r="C63" s="15" t="s">
        <v>901</v>
      </c>
      <c r="D63" s="8" t="s">
        <v>124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902</v>
      </c>
      <c r="C64" s="15" t="s">
        <v>903</v>
      </c>
      <c r="D64" s="13" t="s">
        <v>50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166</v>
      </c>
      <c r="C65" s="2" t="s">
        <v>52</v>
      </c>
      <c r="D65" s="8" t="s">
        <v>53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904</v>
      </c>
      <c r="C66" s="15" t="s">
        <v>217</v>
      </c>
      <c r="D66" s="13" t="s">
        <v>575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905</v>
      </c>
      <c r="C67" s="15" t="s">
        <v>52</v>
      </c>
      <c r="D67" s="13" t="s">
        <v>191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170</v>
      </c>
      <c r="C68" s="2" t="s">
        <v>150</v>
      </c>
      <c r="D68" s="8" t="s">
        <v>131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171</v>
      </c>
      <c r="C69" s="15" t="s">
        <v>72</v>
      </c>
      <c r="D69" s="8" t="s">
        <v>131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173</v>
      </c>
      <c r="C70" s="15" t="s">
        <v>72</v>
      </c>
      <c r="D70" s="8" t="s">
        <v>131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174</v>
      </c>
      <c r="C71" s="2" t="s">
        <v>625</v>
      </c>
      <c r="D71" s="8" t="s">
        <v>70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120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182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183</v>
      </c>
      <c r="C76" s="2" t="s">
        <v>184</v>
      </c>
      <c r="D76" s="8" t="s">
        <v>124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906</v>
      </c>
      <c r="C77" s="2" t="s">
        <v>907</v>
      </c>
      <c r="D77" s="13" t="s">
        <v>908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185</v>
      </c>
      <c r="C78" s="10" t="s">
        <v>909</v>
      </c>
      <c r="D78" s="8" t="s">
        <v>162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189</v>
      </c>
      <c r="C79" s="2" t="s">
        <v>190</v>
      </c>
      <c r="D79" s="13" t="s">
        <v>214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196</v>
      </c>
      <c r="C80" s="2" t="s">
        <v>181</v>
      </c>
      <c r="D80" s="8" t="s">
        <v>78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200</v>
      </c>
      <c r="C81" s="2" t="s">
        <v>181</v>
      </c>
      <c r="D81" s="8" t="s">
        <v>99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202</v>
      </c>
      <c r="C82" s="2" t="s">
        <v>203</v>
      </c>
      <c r="D82" s="8" t="s">
        <v>111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120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204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207</v>
      </c>
      <c r="C86" s="2" t="s">
        <v>142</v>
      </c>
      <c r="D86" s="8" t="s">
        <v>39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205</v>
      </c>
      <c r="C87" s="2" t="s">
        <v>142</v>
      </c>
      <c r="D87" s="8" t="s">
        <v>39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210</v>
      </c>
      <c r="C88" s="2" t="s">
        <v>142</v>
      </c>
      <c r="D88" s="8" t="s">
        <v>42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211</v>
      </c>
      <c r="C89" s="2" t="s">
        <v>910</v>
      </c>
      <c r="D89" s="13" t="s">
        <v>56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212</v>
      </c>
      <c r="C90" s="10" t="s">
        <v>217</v>
      </c>
      <c r="D90" s="13" t="s">
        <v>575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213</v>
      </c>
      <c r="C91" s="10" t="s">
        <v>52</v>
      </c>
      <c r="D91" s="13" t="s">
        <v>574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215</v>
      </c>
      <c r="C92" s="15" t="s">
        <v>72</v>
      </c>
      <c r="D92" s="13" t="s">
        <v>131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216</v>
      </c>
      <c r="C93" s="15" t="s">
        <v>217</v>
      </c>
      <c r="D93" s="13" t="s">
        <v>67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220</v>
      </c>
      <c r="C94" s="2" t="s">
        <v>221</v>
      </c>
      <c r="D94" s="8" t="s">
        <v>75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224</v>
      </c>
      <c r="C95" s="15" t="s">
        <v>554</v>
      </c>
      <c r="D95" s="13" t="s">
        <v>108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120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226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227</v>
      </c>
      <c r="C99" s="2" t="s">
        <v>626</v>
      </c>
      <c r="D99" s="14" t="s">
        <v>36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229</v>
      </c>
      <c r="C100" s="2" t="s">
        <v>230</v>
      </c>
      <c r="D100" s="13" t="s">
        <v>214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235</v>
      </c>
      <c r="C101" s="2" t="s">
        <v>627</v>
      </c>
      <c r="D101" s="13" t="s">
        <v>70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236</v>
      </c>
      <c r="C102" s="2" t="s">
        <v>199</v>
      </c>
      <c r="D102" s="13" t="s">
        <v>75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120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239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628</v>
      </c>
      <c r="C106" s="10" t="s">
        <v>241</v>
      </c>
      <c r="D106" s="13" t="s">
        <v>124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242</v>
      </c>
      <c r="C107" s="2" t="s">
        <v>243</v>
      </c>
      <c r="D107" s="14" t="s">
        <v>36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244</v>
      </c>
      <c r="C108" s="2" t="s">
        <v>629</v>
      </c>
      <c r="D108" s="8" t="s">
        <v>56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246</v>
      </c>
      <c r="C109" s="2" t="s">
        <v>629</v>
      </c>
      <c r="D109" s="8" t="s">
        <v>56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249</v>
      </c>
      <c r="C110" s="2" t="s">
        <v>250</v>
      </c>
      <c r="D110" s="13" t="s">
        <v>911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252</v>
      </c>
      <c r="C111" s="2" t="s">
        <v>250</v>
      </c>
      <c r="D111" s="8" t="s">
        <v>517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253</v>
      </c>
      <c r="C112" s="2" t="s">
        <v>250</v>
      </c>
      <c r="D112" s="13" t="s">
        <v>108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120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257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164</v>
      </c>
      <c r="C116" s="2" t="s">
        <v>142</v>
      </c>
      <c r="D116" s="8" t="s">
        <v>50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259</v>
      </c>
      <c r="C117" s="2" t="s">
        <v>260</v>
      </c>
      <c r="D117" s="13" t="s">
        <v>70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192</v>
      </c>
      <c r="C118" s="10" t="s">
        <v>912</v>
      </c>
      <c r="D118" s="13" t="s">
        <v>172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120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280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281</v>
      </c>
      <c r="C122" s="10" t="s">
        <v>282</v>
      </c>
      <c r="D122" s="13" t="s">
        <v>124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283</v>
      </c>
      <c r="C123" s="10" t="s">
        <v>630</v>
      </c>
      <c r="D123" s="13" t="s">
        <v>209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285</v>
      </c>
      <c r="C124" s="10" t="s">
        <v>631</v>
      </c>
      <c r="D124" s="13" t="s">
        <v>39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913</v>
      </c>
      <c r="C125" s="10" t="s">
        <v>631</v>
      </c>
      <c r="D125" s="13" t="s">
        <v>42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288</v>
      </c>
      <c r="C126" s="10" t="s">
        <v>290</v>
      </c>
      <c r="D126" s="13" t="s">
        <v>47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289</v>
      </c>
      <c r="C127" s="10" t="s">
        <v>632</v>
      </c>
      <c r="D127" s="13" t="s">
        <v>53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291</v>
      </c>
      <c r="C128" s="10" t="s">
        <v>290</v>
      </c>
      <c r="D128" s="13" t="s">
        <v>214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294</v>
      </c>
      <c r="C129" s="10" t="s">
        <v>633</v>
      </c>
      <c r="D129" s="8" t="s">
        <v>86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296</v>
      </c>
      <c r="C130" s="10" t="s">
        <v>297</v>
      </c>
      <c r="D130" s="13" t="s">
        <v>111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298</v>
      </c>
      <c r="C131" s="10" t="s">
        <v>293</v>
      </c>
      <c r="D131" s="13" t="s">
        <v>111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120</v>
      </c>
      <c r="C132" s="24" t="s">
        <v>634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301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914</v>
      </c>
      <c r="C135" s="10" t="s">
        <v>915</v>
      </c>
      <c r="D135" s="13" t="s">
        <v>124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916</v>
      </c>
      <c r="C136" s="10" t="s">
        <v>917</v>
      </c>
      <c r="D136" s="13" t="s">
        <v>36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305</v>
      </c>
      <c r="C137" s="2" t="s">
        <v>306</v>
      </c>
      <c r="D137" s="14" t="s">
        <v>36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307</v>
      </c>
      <c r="C138" s="10" t="s">
        <v>918</v>
      </c>
      <c r="D138" s="13" t="s">
        <v>191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309</v>
      </c>
      <c r="C139" s="2" t="s">
        <v>313</v>
      </c>
      <c r="D139" s="13" t="s">
        <v>191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311</v>
      </c>
      <c r="C140" s="2" t="s">
        <v>313</v>
      </c>
      <c r="D140" s="13" t="s">
        <v>191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231</v>
      </c>
      <c r="C141" s="10" t="s">
        <v>919</v>
      </c>
      <c r="D141" s="13" t="s">
        <v>172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314</v>
      </c>
      <c r="C142" s="10" t="s">
        <v>919</v>
      </c>
      <c r="D142" s="13" t="s">
        <v>172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315</v>
      </c>
      <c r="C143" s="2" t="s">
        <v>920</v>
      </c>
      <c r="D143" s="13" t="s">
        <v>172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317</v>
      </c>
      <c r="C144" s="10" t="s">
        <v>636</v>
      </c>
      <c r="D144" s="13" t="s">
        <v>70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319</v>
      </c>
      <c r="C145" s="10" t="s">
        <v>320</v>
      </c>
      <c r="D145" s="13" t="s">
        <v>131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62</v>
      </c>
      <c r="C146" s="10" t="s">
        <v>921</v>
      </c>
      <c r="D146" s="13" t="s">
        <v>172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321</v>
      </c>
      <c r="C147" s="2" t="s">
        <v>322</v>
      </c>
      <c r="D147" s="13" t="s">
        <v>179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323</v>
      </c>
      <c r="C148" s="2" t="s">
        <v>922</v>
      </c>
      <c r="D148" s="13" t="s">
        <v>78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324</v>
      </c>
      <c r="C149" s="2" t="s">
        <v>922</v>
      </c>
      <c r="D149" s="13" t="s">
        <v>151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326</v>
      </c>
      <c r="C150" s="2" t="s">
        <v>922</v>
      </c>
      <c r="D150" s="13" t="s">
        <v>151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329</v>
      </c>
      <c r="C152" s="10" t="s">
        <v>330</v>
      </c>
      <c r="D152" s="8" t="s">
        <v>99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331</v>
      </c>
      <c r="C153" s="10" t="s">
        <v>637</v>
      </c>
      <c r="D153" s="13" t="s">
        <v>78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333</v>
      </c>
      <c r="C154" s="10" t="s">
        <v>638</v>
      </c>
      <c r="D154" s="13" t="s">
        <v>86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335</v>
      </c>
      <c r="C155" s="10" t="s">
        <v>639</v>
      </c>
      <c r="D155" s="13" t="s">
        <v>78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336</v>
      </c>
      <c r="C156" s="10" t="s">
        <v>640</v>
      </c>
      <c r="D156" s="13" t="s">
        <v>86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338</v>
      </c>
      <c r="C157" s="10" t="s">
        <v>339</v>
      </c>
      <c r="D157" s="13" t="s">
        <v>225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345</v>
      </c>
      <c r="C158" s="10" t="s">
        <v>346</v>
      </c>
      <c r="D158" s="13" t="s">
        <v>111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347</v>
      </c>
      <c r="C159" s="10" t="s">
        <v>348</v>
      </c>
      <c r="D159" s="13" t="s">
        <v>111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349</v>
      </c>
      <c r="C160" s="10" t="s">
        <v>350</v>
      </c>
      <c r="D160" s="13" t="s">
        <v>111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351</v>
      </c>
      <c r="C161" s="10" t="s">
        <v>641</v>
      </c>
      <c r="D161" s="13" t="s">
        <v>108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352</v>
      </c>
      <c r="C162" s="10" t="s">
        <v>348</v>
      </c>
      <c r="D162" s="13" t="s">
        <v>111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361</v>
      </c>
      <c r="C163" s="10" t="s">
        <v>556</v>
      </c>
      <c r="D163" s="13" t="s">
        <v>386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364</v>
      </c>
      <c r="C164" s="10" t="s">
        <v>556</v>
      </c>
      <c r="D164" s="13" t="s">
        <v>386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642</v>
      </c>
      <c r="C165" s="10" t="s">
        <v>556</v>
      </c>
      <c r="D165" s="13" t="s">
        <v>386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365</v>
      </c>
      <c r="C166" s="10" t="s">
        <v>556</v>
      </c>
      <c r="D166" s="13" t="s">
        <v>386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366</v>
      </c>
      <c r="C167" s="10" t="s">
        <v>556</v>
      </c>
      <c r="D167" s="13" t="s">
        <v>386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367</v>
      </c>
      <c r="C168" s="10" t="s">
        <v>556</v>
      </c>
      <c r="D168" s="13" t="s">
        <v>379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369</v>
      </c>
      <c r="C169" s="10" t="s">
        <v>556</v>
      </c>
      <c r="D169" s="13" t="s">
        <v>379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370</v>
      </c>
      <c r="C170" s="10" t="s">
        <v>556</v>
      </c>
      <c r="D170" s="13" t="s">
        <v>379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371</v>
      </c>
      <c r="C171" s="10" t="s">
        <v>556</v>
      </c>
      <c r="D171" s="13" t="s">
        <v>379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372</v>
      </c>
      <c r="C172" s="10" t="s">
        <v>556</v>
      </c>
      <c r="D172" s="13" t="s">
        <v>379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359</v>
      </c>
      <c r="C173" s="10" t="s">
        <v>556</v>
      </c>
      <c r="D173" s="13" t="s">
        <v>379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373</v>
      </c>
      <c r="C174" s="10" t="s">
        <v>362</v>
      </c>
      <c r="D174" s="13" t="s">
        <v>583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375</v>
      </c>
      <c r="C175" s="10" t="s">
        <v>362</v>
      </c>
      <c r="D175" s="13" t="s">
        <v>583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376</v>
      </c>
      <c r="C176" s="10" t="s">
        <v>362</v>
      </c>
      <c r="D176" s="13" t="s">
        <v>582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378</v>
      </c>
      <c r="C177" s="10" t="s">
        <v>389</v>
      </c>
      <c r="D177" s="13" t="s">
        <v>584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380</v>
      </c>
      <c r="C178" s="10" t="s">
        <v>558</v>
      </c>
      <c r="D178" s="13" t="s">
        <v>645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381</v>
      </c>
      <c r="C179" s="10" t="s">
        <v>558</v>
      </c>
      <c r="D179" s="13" t="s">
        <v>645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382</v>
      </c>
      <c r="C180" s="10" t="s">
        <v>558</v>
      </c>
      <c r="D180" s="13" t="s">
        <v>645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383</v>
      </c>
      <c r="C181" s="10" t="s">
        <v>558</v>
      </c>
      <c r="D181" s="13" t="s">
        <v>645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384</v>
      </c>
      <c r="C182" s="10" t="s">
        <v>558</v>
      </c>
      <c r="D182" s="13" t="s">
        <v>645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385</v>
      </c>
      <c r="C183" s="10" t="s">
        <v>558</v>
      </c>
      <c r="D183" s="13" t="s">
        <v>645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387</v>
      </c>
      <c r="C184" s="10" t="s">
        <v>558</v>
      </c>
      <c r="D184" s="13" t="s">
        <v>645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644</v>
      </c>
      <c r="C185" s="10" t="s">
        <v>389</v>
      </c>
      <c r="D185" s="13" t="s">
        <v>645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388</v>
      </c>
      <c r="C186" s="10" t="s">
        <v>389</v>
      </c>
      <c r="D186" s="13" t="s">
        <v>645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360</v>
      </c>
      <c r="C187" s="10" t="s">
        <v>392</v>
      </c>
      <c r="D187" s="13" t="s">
        <v>393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394</v>
      </c>
      <c r="C188" s="10" t="s">
        <v>558</v>
      </c>
      <c r="D188" s="13" t="s">
        <v>400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398</v>
      </c>
      <c r="C189" s="10" t="s">
        <v>399</v>
      </c>
      <c r="D189" s="13" t="s">
        <v>923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401</v>
      </c>
      <c r="C190" s="10" t="s">
        <v>399</v>
      </c>
      <c r="D190" s="13" t="s">
        <v>923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402</v>
      </c>
      <c r="C191" s="10" t="s">
        <v>399</v>
      </c>
      <c r="D191" s="13" t="s">
        <v>923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403</v>
      </c>
      <c r="C192" s="10" t="s">
        <v>404</v>
      </c>
      <c r="D192" s="13" t="s">
        <v>395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406</v>
      </c>
      <c r="C193" s="10" t="s">
        <v>404</v>
      </c>
      <c r="D193" s="13" t="s">
        <v>395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120</v>
      </c>
      <c r="C194" s="26" t="s">
        <v>924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408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1124" t="s">
        <v>0</v>
      </c>
      <c r="B1" s="1124"/>
      <c r="C1" s="1124"/>
      <c r="D1" s="1124"/>
      <c r="E1" s="1124"/>
      <c r="F1" s="1124"/>
      <c r="G1" s="1124"/>
      <c r="H1" s="1124"/>
      <c r="I1" s="1124"/>
      <c r="J1" s="1124"/>
      <c r="K1" s="1124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1147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494</v>
      </c>
      <c r="H4" s="22" t="s">
        <v>1148</v>
      </c>
      <c r="I4" s="184" t="s">
        <v>1149</v>
      </c>
      <c r="J4" s="22" t="s">
        <v>1150</v>
      </c>
      <c r="K4" s="22" t="s">
        <v>1151</v>
      </c>
      <c r="L4" s="22" t="s">
        <v>1152</v>
      </c>
      <c r="M4" s="184" t="s">
        <v>7</v>
      </c>
      <c r="N4" s="184" t="s">
        <v>7</v>
      </c>
      <c r="O4" s="22" t="s">
        <v>1153</v>
      </c>
      <c r="P4" s="22" t="s">
        <v>1153</v>
      </c>
      <c r="Q4" s="184" t="s">
        <v>8</v>
      </c>
      <c r="R4" s="297" t="s">
        <v>9</v>
      </c>
      <c r="S4" s="184" t="s">
        <v>10</v>
      </c>
      <c r="T4" s="184" t="s">
        <v>871</v>
      </c>
      <c r="U4" s="184" t="s">
        <v>872</v>
      </c>
      <c r="V4" s="184" t="s">
        <v>15</v>
      </c>
      <c r="W4" s="22" t="s">
        <v>16</v>
      </c>
      <c r="X4" s="310" t="s">
        <v>18</v>
      </c>
      <c r="Y4" s="284" t="s">
        <v>759</v>
      </c>
    </row>
    <row r="5" spans="1:25" ht="18.75">
      <c r="A5" s="1"/>
      <c r="B5" s="1"/>
      <c r="C5" s="6"/>
      <c r="D5" s="6"/>
      <c r="E5" s="67" t="s">
        <v>21</v>
      </c>
      <c r="F5" s="19"/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67" t="s">
        <v>21</v>
      </c>
      <c r="R5" s="270" t="s">
        <v>21</v>
      </c>
      <c r="S5" s="67" t="s">
        <v>21</v>
      </c>
      <c r="T5" s="67" t="s">
        <v>21</v>
      </c>
      <c r="U5" s="67" t="s">
        <v>21</v>
      </c>
      <c r="V5" s="67" t="s">
        <v>21</v>
      </c>
      <c r="W5" s="67" t="s">
        <v>21</v>
      </c>
      <c r="X5" s="409" t="s">
        <v>21</v>
      </c>
      <c r="Y5" s="196" t="s">
        <v>21</v>
      </c>
    </row>
    <row r="6" spans="1:25" ht="18.75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127</v>
      </c>
      <c r="C7" s="2" t="s">
        <v>1122</v>
      </c>
      <c r="D7" s="8" t="s">
        <v>111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1154</v>
      </c>
      <c r="C8" s="12" t="s">
        <v>1118</v>
      </c>
      <c r="D8" s="8" t="s">
        <v>81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1101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471</v>
      </c>
      <c r="Y10" s="415">
        <f>1+(27/31)</f>
        <v>1.87096774193548</v>
      </c>
    </row>
    <row r="11" spans="1:25" ht="18.75">
      <c r="W11" s="413"/>
      <c r="X11" s="414" t="s">
        <v>1155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1156</v>
      </c>
      <c r="B1" s="345"/>
      <c r="C1" s="344"/>
      <c r="D1" s="344"/>
      <c r="E1" s="346"/>
      <c r="F1" s="346"/>
      <c r="G1" s="347"/>
    </row>
    <row r="2" spans="1:10" ht="22.5">
      <c r="A2" s="344" t="s">
        <v>1157</v>
      </c>
      <c r="B2" s="344"/>
      <c r="C2" s="344"/>
      <c r="D2" s="344"/>
      <c r="E2" s="346"/>
      <c r="F2" s="346"/>
      <c r="G2" s="347"/>
    </row>
    <row r="3" spans="1:10" ht="22.5">
      <c r="A3" s="344" t="s">
        <v>1158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22</v>
      </c>
      <c r="B4" s="349" t="s">
        <v>1159</v>
      </c>
      <c r="C4" s="350" t="s">
        <v>1160</v>
      </c>
      <c r="D4" s="351" t="s">
        <v>1161</v>
      </c>
      <c r="E4" s="351" t="s">
        <v>1162</v>
      </c>
      <c r="F4" s="351" t="s">
        <v>1163</v>
      </c>
      <c r="G4" s="351" t="s">
        <v>1164</v>
      </c>
      <c r="H4" s="352" t="s">
        <v>120</v>
      </c>
    </row>
    <row r="5" spans="1:10" ht="16.5">
      <c r="A5" s="1119" t="s">
        <v>1165</v>
      </c>
      <c r="B5" s="353" t="s">
        <v>1166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1119" t="s">
        <v>1167</v>
      </c>
      <c r="B6" s="357" t="s">
        <v>1168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1119" t="s">
        <v>1169</v>
      </c>
      <c r="B7" s="353" t="s">
        <v>1170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1119" t="s">
        <v>1171</v>
      </c>
      <c r="B8" s="353" t="s">
        <v>1172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1119" t="s">
        <v>1173</v>
      </c>
      <c r="B9" s="353" t="s">
        <v>1174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1119" t="s">
        <v>1175</v>
      </c>
      <c r="B10" s="353" t="s">
        <v>1176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1119" t="s">
        <v>1177</v>
      </c>
      <c r="B11" s="353" t="s">
        <v>1178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1119" t="s">
        <v>1179</v>
      </c>
      <c r="B12" s="353" t="s">
        <v>1180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1119" t="s">
        <v>1181</v>
      </c>
      <c r="B13" s="353" t="s">
        <v>1182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1119" t="s">
        <v>1183</v>
      </c>
      <c r="B14" s="353" t="s">
        <v>1184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1119" t="s">
        <v>1185</v>
      </c>
      <c r="B15" s="353" t="s">
        <v>973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1119" t="s">
        <v>1186</v>
      </c>
      <c r="B16" s="353" t="s">
        <v>283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1119" t="s">
        <v>1187</v>
      </c>
      <c r="B17" s="353" t="s">
        <v>1188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1119" t="s">
        <v>1189</v>
      </c>
      <c r="B18" s="353" t="s">
        <v>1190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1119" t="s">
        <v>1191</v>
      </c>
      <c r="B19" s="353" t="s">
        <v>1192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1119" t="s">
        <v>1193</v>
      </c>
      <c r="B20" s="353" t="s">
        <v>1194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1119" t="s">
        <v>1195</v>
      </c>
      <c r="B21" s="353" t="s">
        <v>1196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1119" t="s">
        <v>1197</v>
      </c>
      <c r="B22" s="353" t="s">
        <v>1198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1119" t="s">
        <v>1199</v>
      </c>
      <c r="B23" s="353" t="s">
        <v>1200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1119" t="s">
        <v>1201</v>
      </c>
      <c r="B24" s="353" t="s">
        <v>289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1119" t="s">
        <v>1202</v>
      </c>
      <c r="B25" s="353" t="s">
        <v>1203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1119" t="s">
        <v>1204</v>
      </c>
      <c r="B26" s="353" t="s">
        <v>1205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1119" t="s">
        <v>1206</v>
      </c>
      <c r="B27" s="353" t="s">
        <v>1207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1119" t="s">
        <v>1208</v>
      </c>
      <c r="B28" s="353" t="s">
        <v>1209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1119" t="s">
        <v>1210</v>
      </c>
      <c r="B29" s="353" t="s">
        <v>1211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1119" t="s">
        <v>1212</v>
      </c>
      <c r="B30" s="353" t="s">
        <v>1213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1119" t="s">
        <v>1214</v>
      </c>
      <c r="B31" s="353" t="s">
        <v>189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1119" t="s">
        <v>1215</v>
      </c>
      <c r="B32" s="353" t="s">
        <v>1216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1119" t="s">
        <v>1217</v>
      </c>
      <c r="B33" s="353" t="s">
        <v>1218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1119" t="s">
        <v>1219</v>
      </c>
      <c r="B34" s="353" t="s">
        <v>1220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1119" t="s">
        <v>1221</v>
      </c>
      <c r="B35" s="353" t="s">
        <v>1222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1119" t="s">
        <v>1223</v>
      </c>
      <c r="B36" s="353" t="s">
        <v>1224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1119" t="s">
        <v>1225</v>
      </c>
      <c r="B37" s="353" t="s">
        <v>1226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1119" t="s">
        <v>1227</v>
      </c>
      <c r="B38" s="353" t="s">
        <v>311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1119" t="s">
        <v>1228</v>
      </c>
      <c r="B39" s="353" t="s">
        <v>34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1119" t="s">
        <v>1229</v>
      </c>
      <c r="B40" s="353" t="s">
        <v>291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1119" t="s">
        <v>1230</v>
      </c>
      <c r="B41" s="353" t="s">
        <v>319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1119" t="s">
        <v>1231</v>
      </c>
      <c r="B42" s="353" t="s">
        <v>1232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1119" t="s">
        <v>1233</v>
      </c>
      <c r="B43" s="353" t="s">
        <v>359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1119" t="s">
        <v>1234</v>
      </c>
      <c r="B44" s="353" t="s">
        <v>1235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1119" t="s">
        <v>1236</v>
      </c>
      <c r="B45" s="353" t="s">
        <v>1237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1119" t="s">
        <v>1238</v>
      </c>
      <c r="B46" s="353" t="s">
        <v>351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1119" t="s">
        <v>1239</v>
      </c>
      <c r="B47" s="353" t="s">
        <v>1240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1119" t="s">
        <v>1241</v>
      </c>
      <c r="B48" s="353" t="s">
        <v>1242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1119" t="s">
        <v>1243</v>
      </c>
      <c r="B49" s="353" t="s">
        <v>1244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1119" t="s">
        <v>1245</v>
      </c>
      <c r="B50" s="353" t="s">
        <v>642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1119" t="s">
        <v>1246</v>
      </c>
      <c r="B51" s="353" t="s">
        <v>1247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1119" t="s">
        <v>1248</v>
      </c>
      <c r="B52" s="353" t="s">
        <v>376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1119" t="s">
        <v>1249</v>
      </c>
      <c r="B53" s="353" t="s">
        <v>366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1119" t="s">
        <v>1250</v>
      </c>
      <c r="B54" s="353" t="s">
        <v>1251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1120" t="s">
        <v>1252</v>
      </c>
      <c r="B55" s="366" t="s">
        <v>1253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1119" t="s">
        <v>1254</v>
      </c>
      <c r="B56" s="353" t="s">
        <v>914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1119" t="s">
        <v>1255</v>
      </c>
      <c r="B57" s="353" t="s">
        <v>1256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1119" t="s">
        <v>1257</v>
      </c>
      <c r="B58" s="353" t="s">
        <v>1258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1120" t="s">
        <v>1259</v>
      </c>
      <c r="B59" s="366" t="s">
        <v>1260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1119" t="s">
        <v>1261</v>
      </c>
      <c r="B60" s="353" t="s">
        <v>1262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1119" t="s">
        <v>1263</v>
      </c>
      <c r="B61" s="353" t="s">
        <v>1264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1119" t="s">
        <v>1265</v>
      </c>
      <c r="B62" s="353" t="s">
        <v>1266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1119" t="s">
        <v>1267</v>
      </c>
      <c r="B63" s="353" t="s">
        <v>1268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1119" t="s">
        <v>1269</v>
      </c>
      <c r="B64" s="353" t="s">
        <v>1270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1119" t="s">
        <v>1271</v>
      </c>
      <c r="B65" s="353" t="s">
        <v>309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1119" t="s">
        <v>1272</v>
      </c>
      <c r="B66" s="353" t="s">
        <v>1273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1119" t="s">
        <v>1274</v>
      </c>
      <c r="B67" s="353" t="s">
        <v>364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1119" t="s">
        <v>1275</v>
      </c>
      <c r="B68" s="353" t="s">
        <v>141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1119" t="s">
        <v>1276</v>
      </c>
      <c r="B69" s="353" t="s">
        <v>1277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1119" t="s">
        <v>1278</v>
      </c>
      <c r="B70" s="353" t="s">
        <v>40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1119" t="s">
        <v>1279</v>
      </c>
      <c r="B71" s="353" t="s">
        <v>1280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1119" t="s">
        <v>1281</v>
      </c>
      <c r="B72" s="353" t="s">
        <v>1282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1119" t="s">
        <v>1283</v>
      </c>
      <c r="B73" s="353" t="s">
        <v>1284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1119" t="s">
        <v>1285</v>
      </c>
      <c r="B74" s="353" t="s">
        <v>372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1119" t="s">
        <v>1286</v>
      </c>
      <c r="B75" s="353" t="s">
        <v>1287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1119" t="s">
        <v>1288</v>
      </c>
      <c r="B76" s="353" t="s">
        <v>1289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1119" t="s">
        <v>1290</v>
      </c>
      <c r="B77" s="353" t="s">
        <v>1291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1119" t="s">
        <v>1292</v>
      </c>
      <c r="B78" s="353" t="s">
        <v>1293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1119" t="s">
        <v>1294</v>
      </c>
      <c r="B79" s="353" t="s">
        <v>1295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1119" t="s">
        <v>1296</v>
      </c>
      <c r="B80" s="353" t="s">
        <v>1297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1119" t="s">
        <v>1298</v>
      </c>
      <c r="B81" s="353" t="s">
        <v>1299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1119" t="s">
        <v>1300</v>
      </c>
      <c r="B82" s="353" t="s">
        <v>1301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1119" t="s">
        <v>1302</v>
      </c>
      <c r="B83" s="353" t="s">
        <v>1303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1119" t="s">
        <v>1304</v>
      </c>
      <c r="B84" s="353" t="s">
        <v>1305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1119" t="s">
        <v>1306</v>
      </c>
      <c r="B85" s="353" t="s">
        <v>1307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1119" t="s">
        <v>1308</v>
      </c>
      <c r="B86" s="353" t="s">
        <v>1309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1119" t="s">
        <v>1310</v>
      </c>
      <c r="B87" s="353" t="s">
        <v>1311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1119" t="s">
        <v>1312</v>
      </c>
      <c r="B88" s="353" t="s">
        <v>1313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1119" t="s">
        <v>1314</v>
      </c>
      <c r="B89" s="353" t="s">
        <v>1315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1119" t="s">
        <v>1316</v>
      </c>
      <c r="B90" s="353" t="s">
        <v>1317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1119" t="s">
        <v>1318</v>
      </c>
      <c r="B91" s="353" t="s">
        <v>1319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1119" t="s">
        <v>1320</v>
      </c>
      <c r="B92" s="353" t="s">
        <v>1321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1119" t="s">
        <v>1322</v>
      </c>
      <c r="B93" s="353" t="s">
        <v>1323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1119" t="s">
        <v>1324</v>
      </c>
      <c r="B94" s="353" t="s">
        <v>1325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1119" t="s">
        <v>1326</v>
      </c>
      <c r="B95" s="353" t="s">
        <v>383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1119" t="s">
        <v>1327</v>
      </c>
      <c r="B96" s="353" t="s">
        <v>1328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1119" t="s">
        <v>1329</v>
      </c>
      <c r="B97" s="353" t="s">
        <v>1330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1119" t="s">
        <v>1331</v>
      </c>
      <c r="B98" s="353" t="s">
        <v>1332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1119" t="s">
        <v>1333</v>
      </c>
      <c r="B99" s="353" t="s">
        <v>1334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1119" t="s">
        <v>1335</v>
      </c>
      <c r="B100" s="353" t="s">
        <v>1336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1119" t="s">
        <v>1337</v>
      </c>
      <c r="B101" s="353" t="s">
        <v>1338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1119" t="s">
        <v>1339</v>
      </c>
      <c r="B102" s="353" t="s">
        <v>1340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1119" t="s">
        <v>1341</v>
      </c>
      <c r="B103" s="353" t="s">
        <v>1342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1119" t="s">
        <v>1343</v>
      </c>
      <c r="B104" s="353" t="s">
        <v>1344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1119" t="s">
        <v>1345</v>
      </c>
      <c r="B105" s="353" t="s">
        <v>1346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1119" t="s">
        <v>1347</v>
      </c>
      <c r="B106" s="353" t="s">
        <v>1348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1121" t="s">
        <v>1349</v>
      </c>
      <c r="B107" s="353" t="s">
        <v>1350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1121" t="s">
        <v>1351</v>
      </c>
      <c r="B108" s="353" t="s">
        <v>1352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1119" t="s">
        <v>1353</v>
      </c>
      <c r="B109" s="353" t="s">
        <v>1354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1119" t="s">
        <v>1355</v>
      </c>
      <c r="B110" s="353" t="s">
        <v>1356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1121" t="s">
        <v>1357</v>
      </c>
      <c r="B111" s="353" t="s">
        <v>212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1119" t="s">
        <v>1358</v>
      </c>
      <c r="B112" s="353" t="s">
        <v>1359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1122" t="s">
        <v>1360</v>
      </c>
      <c r="B113" s="353" t="s">
        <v>213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1119" t="s">
        <v>1361</v>
      </c>
      <c r="B114" s="353" t="s">
        <v>1362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1119" t="s">
        <v>1363</v>
      </c>
      <c r="B115" s="353" t="s">
        <v>1364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1119" t="s">
        <v>1365</v>
      </c>
      <c r="B116" s="353" t="s">
        <v>317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1122" t="s">
        <v>1366</v>
      </c>
      <c r="B117" s="353" t="s">
        <v>1367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1119" t="s">
        <v>1368</v>
      </c>
      <c r="B118" s="353" t="s">
        <v>1369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1119" t="s">
        <v>1370</v>
      </c>
      <c r="B119" s="353" t="s">
        <v>1371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1119" t="s">
        <v>1372</v>
      </c>
      <c r="B120" s="353" t="s">
        <v>1373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1119" t="s">
        <v>1374</v>
      </c>
      <c r="B121" s="353" t="s">
        <v>1375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1119" t="s">
        <v>1376</v>
      </c>
      <c r="B122" s="353" t="s">
        <v>1377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1119" t="s">
        <v>1378</v>
      </c>
      <c r="B123" s="353" t="s">
        <v>235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1119" t="s">
        <v>1379</v>
      </c>
      <c r="B124" s="353" t="s">
        <v>1380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1122" t="s">
        <v>1381</v>
      </c>
      <c r="B125" s="353" t="s">
        <v>1382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1122" t="s">
        <v>1383</v>
      </c>
      <c r="B126" s="353" t="s">
        <v>314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1122" t="s">
        <v>1384</v>
      </c>
      <c r="B127" s="353" t="s">
        <v>1385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1122" t="s">
        <v>1386</v>
      </c>
      <c r="B128" s="353" t="s">
        <v>1387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1122" t="s">
        <v>1388</v>
      </c>
      <c r="B129" s="353" t="s">
        <v>1389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1122" t="s">
        <v>1388</v>
      </c>
      <c r="B130" s="353" t="s">
        <v>1390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1122" t="s">
        <v>1391</v>
      </c>
      <c r="B131" s="353" t="s">
        <v>211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1122" t="s">
        <v>1392</v>
      </c>
      <c r="B132" s="353" t="s">
        <v>1393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1122" t="s">
        <v>1394</v>
      </c>
      <c r="B133" s="353" t="s">
        <v>1395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1122" t="s">
        <v>1396</v>
      </c>
      <c r="B134" s="353" t="s">
        <v>1397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1122" t="s">
        <v>1398</v>
      </c>
      <c r="B135" s="353" t="s">
        <v>1399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1122" t="s">
        <v>1400</v>
      </c>
      <c r="B136" s="353" t="s">
        <v>1401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1122" t="s">
        <v>1402</v>
      </c>
      <c r="B137" s="353" t="s">
        <v>1403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1122" t="s">
        <v>1404</v>
      </c>
      <c r="B138" s="353" t="s">
        <v>1405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1122" t="s">
        <v>1406</v>
      </c>
      <c r="B139" s="353" t="s">
        <v>335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1122" t="s">
        <v>1407</v>
      </c>
      <c r="B140" s="353" t="s">
        <v>196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1122" t="s">
        <v>1408</v>
      </c>
      <c r="B141" s="353" t="s">
        <v>1409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1122" t="s">
        <v>1410</v>
      </c>
      <c r="B142" s="353" t="s">
        <v>1411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1122" t="s">
        <v>1412</v>
      </c>
      <c r="B143" s="353" t="s">
        <v>380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1122" t="s">
        <v>1413</v>
      </c>
      <c r="B144" s="353" t="s">
        <v>1414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1122" t="s">
        <v>1415</v>
      </c>
      <c r="B145" s="353" t="s">
        <v>1416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1122" t="s">
        <v>1417</v>
      </c>
      <c r="B146" s="353" t="s">
        <v>1418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1122" t="s">
        <v>1419</v>
      </c>
      <c r="B147" s="353" t="s">
        <v>1420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1122" t="s">
        <v>1421</v>
      </c>
      <c r="B148" s="353" t="s">
        <v>1422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1122" t="s">
        <v>1423</v>
      </c>
      <c r="B149" s="353" t="s">
        <v>160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1122" t="s">
        <v>1424</v>
      </c>
      <c r="B150" s="353" t="s">
        <v>236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1122" t="s">
        <v>1425</v>
      </c>
      <c r="B151" s="353" t="s">
        <v>1426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1122" t="s">
        <v>1427</v>
      </c>
      <c r="B152" s="353" t="s">
        <v>95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1122" t="s">
        <v>1428</v>
      </c>
      <c r="B153" s="353" t="s">
        <v>91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1122" t="s">
        <v>1429</v>
      </c>
      <c r="B154" s="353" t="s">
        <v>1430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1122" t="s">
        <v>1431</v>
      </c>
      <c r="B155" s="353" t="s">
        <v>1432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1122" t="s">
        <v>1433</v>
      </c>
      <c r="B156" s="353" t="s">
        <v>286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1122" t="s">
        <v>1434</v>
      </c>
      <c r="B157" s="353" t="s">
        <v>1435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1122" t="s">
        <v>1436</v>
      </c>
      <c r="B158" s="353" t="s">
        <v>1437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1122" t="s">
        <v>1438</v>
      </c>
      <c r="B159" s="353" t="s">
        <v>387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1122" t="s">
        <v>1439</v>
      </c>
      <c r="B160" s="353" t="s">
        <v>1440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1122" t="s">
        <v>1441</v>
      </c>
      <c r="B161" s="353" t="s">
        <v>1442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1122" t="s">
        <v>1443</v>
      </c>
      <c r="B162" s="353" t="s">
        <v>1444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1122" t="s">
        <v>1445</v>
      </c>
      <c r="B163" s="353" t="s">
        <v>1446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1122" t="s">
        <v>1447</v>
      </c>
      <c r="B164" s="353" t="s">
        <v>1448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1122" t="s">
        <v>1449</v>
      </c>
      <c r="B165" s="353" t="s">
        <v>1450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1122" t="s">
        <v>1451</v>
      </c>
      <c r="B166" s="353" t="s">
        <v>215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1122" t="s">
        <v>1452</v>
      </c>
      <c r="B167" s="353" t="s">
        <v>1453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1122" t="s">
        <v>1454</v>
      </c>
      <c r="B168" s="353" t="s">
        <v>483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1122" t="s">
        <v>1455</v>
      </c>
      <c r="B169" s="353" t="s">
        <v>1456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1122" t="s">
        <v>1457</v>
      </c>
      <c r="B170" s="353" t="s">
        <v>1458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1122" t="s">
        <v>1459</v>
      </c>
      <c r="B171" s="353" t="s">
        <v>1460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1122" t="s">
        <v>1461</v>
      </c>
      <c r="B172" s="353" t="s">
        <v>173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1122" t="s">
        <v>1462</v>
      </c>
      <c r="B173" s="353" t="s">
        <v>347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1122" t="s">
        <v>1463</v>
      </c>
      <c r="B174" s="353" t="s">
        <v>1464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1122" t="s">
        <v>1465</v>
      </c>
      <c r="B175" s="353" t="s">
        <v>1466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1122" t="s">
        <v>1467</v>
      </c>
      <c r="B176" s="353" t="s">
        <v>103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1122" t="s">
        <v>1468</v>
      </c>
      <c r="B177" s="353" t="s">
        <v>1469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1122" t="s">
        <v>1470</v>
      </c>
      <c r="B178" s="353" t="s">
        <v>1471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1122" t="s">
        <v>1472</v>
      </c>
      <c r="B179" s="353" t="s">
        <v>1473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1122" t="s">
        <v>1474</v>
      </c>
      <c r="B180" s="353" t="s">
        <v>1475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1122" t="s">
        <v>1476</v>
      </c>
      <c r="B181" s="353" t="s">
        <v>403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1122" t="s">
        <v>1474</v>
      </c>
      <c r="B182" s="353" t="s">
        <v>1477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1122" t="s">
        <v>1474</v>
      </c>
      <c r="B183" s="353" t="s">
        <v>398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1122" t="s">
        <v>1474</v>
      </c>
      <c r="B184" s="353" t="s">
        <v>1478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120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1479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1480</v>
      </c>
      <c r="D188" s="348" t="s">
        <v>1481</v>
      </c>
      <c r="E188" s="353"/>
      <c r="F188" s="393"/>
      <c r="G188" s="393"/>
      <c r="H188" s="394"/>
      <c r="I188" s="368"/>
    </row>
    <row r="189" spans="1:12" ht="18">
      <c r="A189" s="353"/>
      <c r="B189" s="353" t="s">
        <v>1482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1483</v>
      </c>
      <c r="G189" s="368"/>
      <c r="H189" s="368"/>
      <c r="I189" s="368"/>
      <c r="K189" s="368"/>
    </row>
    <row r="190" spans="1:12" ht="18">
      <c r="A190" s="353"/>
      <c r="B190" s="353" t="s">
        <v>1484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1485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403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1477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398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1478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665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1486</v>
      </c>
      <c r="C198" s="348"/>
      <c r="D198" s="353"/>
      <c r="E198" s="353"/>
      <c r="K198" s="368"/>
    </row>
    <row r="199" spans="1:11" ht="15">
      <c r="A199" s="353"/>
      <c r="B199" s="348"/>
      <c r="C199" s="348" t="s">
        <v>1480</v>
      </c>
      <c r="D199" s="348" t="s">
        <v>1481</v>
      </c>
      <c r="E199" s="353"/>
      <c r="K199" s="368"/>
    </row>
    <row r="200" spans="1:11" ht="18">
      <c r="A200" s="401"/>
      <c r="B200" s="401" t="s">
        <v>1487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1488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1489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1122" t="s">
        <v>1217</v>
      </c>
      <c r="B208" s="353" t="s">
        <v>1218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1122" t="s">
        <v>1265</v>
      </c>
      <c r="B209" s="353" t="s">
        <v>1266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1122" t="s">
        <v>1300</v>
      </c>
      <c r="B210" s="353" t="s">
        <v>1301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1122" t="s">
        <v>1374</v>
      </c>
      <c r="B211" s="353" t="s">
        <v>1375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1122" t="s">
        <v>1490</v>
      </c>
      <c r="B212" s="353" t="s">
        <v>1491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1122" t="s">
        <v>1492</v>
      </c>
      <c r="B213" s="353" t="s">
        <v>1493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1122" t="s">
        <v>1494</v>
      </c>
      <c r="B214" s="353" t="s">
        <v>1495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1122" t="s">
        <v>1496</v>
      </c>
      <c r="B215" s="353" t="s">
        <v>1497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1122" t="s">
        <v>1498</v>
      </c>
      <c r="B216" s="353" t="s">
        <v>1499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1122" t="s">
        <v>1500</v>
      </c>
      <c r="B217" s="353" t="s">
        <v>1501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1122" t="s">
        <v>1455</v>
      </c>
      <c r="B218" s="353" t="s">
        <v>1456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1122" t="s">
        <v>1470</v>
      </c>
      <c r="B219" s="353" t="s">
        <v>1471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1122" t="s">
        <v>1502</v>
      </c>
      <c r="B220" s="353" t="s">
        <v>1503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1122" t="s">
        <v>1504</v>
      </c>
      <c r="B221" s="353" t="s">
        <v>1505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1122" t="s">
        <v>1506</v>
      </c>
      <c r="B222" s="353" t="s">
        <v>106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1122" t="s">
        <v>1507</v>
      </c>
      <c r="B223" s="353" t="s">
        <v>1482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1155" t="s">
        <v>0</v>
      </c>
      <c r="B1" s="1155"/>
      <c r="C1" s="1155"/>
      <c r="D1" s="1155"/>
      <c r="E1" s="1155"/>
    </row>
    <row r="2" spans="1:7" ht="33.75" customHeight="1">
      <c r="A2" s="202" t="s">
        <v>1508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551</v>
      </c>
      <c r="F4" s="65" t="s">
        <v>552</v>
      </c>
      <c r="G4" s="65" t="s">
        <v>553</v>
      </c>
    </row>
    <row r="5" spans="1:7" ht="17.25" customHeight="1">
      <c r="C5" s="66"/>
      <c r="D5" s="6"/>
      <c r="E5" s="67" t="s">
        <v>21</v>
      </c>
      <c r="F5" s="67" t="s">
        <v>21</v>
      </c>
      <c r="G5" s="67" t="s">
        <v>21</v>
      </c>
    </row>
    <row r="6" spans="1:7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30</v>
      </c>
      <c r="C9" s="2" t="s">
        <v>31</v>
      </c>
      <c r="D9" s="8" t="s">
        <v>29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32</v>
      </c>
      <c r="C10" s="15" t="s">
        <v>33</v>
      </c>
      <c r="D10" s="8" t="s">
        <v>29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302</v>
      </c>
      <c r="C11" s="2" t="s">
        <v>890</v>
      </c>
      <c r="D11" s="8" t="s">
        <v>29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891</v>
      </c>
      <c r="C12" s="8" t="s">
        <v>892</v>
      </c>
      <c r="D12" s="8" t="s">
        <v>29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40</v>
      </c>
      <c r="C15" s="2" t="s">
        <v>619</v>
      </c>
      <c r="D15" s="13" t="s">
        <v>191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43</v>
      </c>
      <c r="C16" s="15" t="s">
        <v>52</v>
      </c>
      <c r="D16" s="13" t="s">
        <v>47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48</v>
      </c>
      <c r="C17" s="2" t="s">
        <v>894</v>
      </c>
      <c r="D17" s="8" t="s">
        <v>56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51</v>
      </c>
      <c r="C18" s="10" t="s">
        <v>61</v>
      </c>
      <c r="D18" s="13" t="s">
        <v>575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54</v>
      </c>
      <c r="C19" s="2" t="s">
        <v>55</v>
      </c>
      <c r="D19" s="13" t="s">
        <v>59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65</v>
      </c>
      <c r="C20" s="10" t="s">
        <v>177</v>
      </c>
      <c r="D20" s="13" t="s">
        <v>70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68</v>
      </c>
      <c r="C21" s="15" t="s">
        <v>69</v>
      </c>
      <c r="D21" s="8" t="s">
        <v>179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73</v>
      </c>
      <c r="C22" s="15" t="s">
        <v>74</v>
      </c>
      <c r="D22" s="8" t="s">
        <v>81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483</v>
      </c>
      <c r="C23" s="2" t="s">
        <v>94</v>
      </c>
      <c r="D23" s="8" t="s">
        <v>86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79</v>
      </c>
      <c r="C24" s="10" t="s">
        <v>94</v>
      </c>
      <c r="D24" s="13" t="s">
        <v>86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84</v>
      </c>
      <c r="C25" s="10" t="s">
        <v>85</v>
      </c>
      <c r="D25" s="13" t="s">
        <v>99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87</v>
      </c>
      <c r="C26" s="2" t="s">
        <v>88</v>
      </c>
      <c r="D26" s="8" t="s">
        <v>225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91</v>
      </c>
      <c r="C27" s="15" t="s">
        <v>622</v>
      </c>
      <c r="D27" s="13" t="s">
        <v>99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95</v>
      </c>
      <c r="C28" s="2" t="s">
        <v>623</v>
      </c>
      <c r="D28" s="8" t="s">
        <v>108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1509</v>
      </c>
      <c r="C29" s="10" t="s">
        <v>104</v>
      </c>
      <c r="D29" s="8" t="s">
        <v>108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103</v>
      </c>
      <c r="C30" s="10" t="s">
        <v>104</v>
      </c>
      <c r="D30" s="13" t="s">
        <v>111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120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121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122</v>
      </c>
      <c r="C34" s="2" t="s">
        <v>123</v>
      </c>
      <c r="D34" s="8" t="s">
        <v>124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127</v>
      </c>
      <c r="C35" s="2" t="s">
        <v>1122</v>
      </c>
      <c r="D35" s="8" t="s">
        <v>111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129</v>
      </c>
      <c r="C36" s="10" t="s">
        <v>1119</v>
      </c>
      <c r="D36" s="13" t="s">
        <v>75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137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895</v>
      </c>
      <c r="C40" s="2" t="s">
        <v>896</v>
      </c>
      <c r="D40" s="8" t="s">
        <v>124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897</v>
      </c>
      <c r="C41" s="2" t="s">
        <v>44</v>
      </c>
      <c r="D41" s="8" t="s">
        <v>39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138</v>
      </c>
      <c r="C42" s="2" t="s">
        <v>624</v>
      </c>
      <c r="D42" s="8" t="s">
        <v>209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141</v>
      </c>
      <c r="C43" s="2" t="s">
        <v>142</v>
      </c>
      <c r="D43" s="8" t="s">
        <v>39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143</v>
      </c>
      <c r="C44" s="2" t="s">
        <v>142</v>
      </c>
      <c r="D44" s="8" t="s">
        <v>39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144</v>
      </c>
      <c r="C45" s="2" t="s">
        <v>142</v>
      </c>
      <c r="D45" s="8" t="s">
        <v>42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145</v>
      </c>
      <c r="C46" s="2" t="s">
        <v>52</v>
      </c>
      <c r="D46" s="14" t="s">
        <v>47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53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75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99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898</v>
      </c>
      <c r="C50" s="2" t="s">
        <v>150</v>
      </c>
      <c r="D50" s="8" t="s">
        <v>99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155</v>
      </c>
      <c r="C51" s="2" t="s">
        <v>150</v>
      </c>
      <c r="D51" s="8" t="s">
        <v>99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120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157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899</v>
      </c>
      <c r="C55" s="10" t="s">
        <v>159</v>
      </c>
      <c r="D55" s="13" t="s">
        <v>124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160</v>
      </c>
      <c r="C56" s="10" t="s">
        <v>161</v>
      </c>
      <c r="D56" s="13" t="s">
        <v>162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120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163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900</v>
      </c>
      <c r="C60" s="15" t="s">
        <v>901</v>
      </c>
      <c r="D60" s="8" t="s">
        <v>124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902</v>
      </c>
      <c r="C61" s="15" t="s">
        <v>903</v>
      </c>
      <c r="D61" s="13" t="s">
        <v>50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166</v>
      </c>
      <c r="C62" s="2" t="s">
        <v>52</v>
      </c>
      <c r="D62" s="8" t="s">
        <v>53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904</v>
      </c>
      <c r="C63" s="15" t="s">
        <v>217</v>
      </c>
      <c r="D63" s="13" t="s">
        <v>575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905</v>
      </c>
      <c r="C64" s="15" t="s">
        <v>52</v>
      </c>
      <c r="D64" s="13" t="s">
        <v>191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131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171</v>
      </c>
      <c r="C66" s="15" t="s">
        <v>72</v>
      </c>
      <c r="D66" s="8" t="s">
        <v>131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173</v>
      </c>
      <c r="C67" s="15" t="s">
        <v>72</v>
      </c>
      <c r="D67" s="8" t="s">
        <v>131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174</v>
      </c>
      <c r="C68" s="2" t="s">
        <v>625</v>
      </c>
      <c r="D68" s="8" t="s">
        <v>70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75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82</v>
      </c>
      <c r="C70" s="15" t="s">
        <v>69</v>
      </c>
      <c r="D70" s="8" t="s">
        <v>86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120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182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183</v>
      </c>
      <c r="C74" s="2" t="s">
        <v>184</v>
      </c>
      <c r="D74" s="8" t="s">
        <v>124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906</v>
      </c>
      <c r="C75" s="2" t="s">
        <v>907</v>
      </c>
      <c r="D75" s="13" t="s">
        <v>908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185</v>
      </c>
      <c r="C76" s="10" t="s">
        <v>909</v>
      </c>
      <c r="D76" s="8" t="s">
        <v>162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189</v>
      </c>
      <c r="C77" s="2" t="s">
        <v>190</v>
      </c>
      <c r="D77" s="13" t="s">
        <v>214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196</v>
      </c>
      <c r="C78" s="2" t="s">
        <v>181</v>
      </c>
      <c r="D78" s="8" t="s">
        <v>78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200</v>
      </c>
      <c r="C79" s="2" t="s">
        <v>181</v>
      </c>
      <c r="D79" s="8" t="s">
        <v>99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202</v>
      </c>
      <c r="C80" s="2" t="s">
        <v>203</v>
      </c>
      <c r="D80" s="8" t="s">
        <v>111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120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204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207</v>
      </c>
      <c r="C84" s="2" t="s">
        <v>142</v>
      </c>
      <c r="D84" s="8" t="s">
        <v>39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205</v>
      </c>
      <c r="C85" s="2" t="s">
        <v>142</v>
      </c>
      <c r="D85" s="8" t="s">
        <v>39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164</v>
      </c>
      <c r="C86" s="2" t="s">
        <v>142</v>
      </c>
      <c r="D86" s="8" t="s">
        <v>50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210</v>
      </c>
      <c r="C87" s="2" t="s">
        <v>142</v>
      </c>
      <c r="D87" s="8" t="s">
        <v>42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211</v>
      </c>
      <c r="C88" s="2" t="s">
        <v>910</v>
      </c>
      <c r="D88" s="13" t="s">
        <v>56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212</v>
      </c>
      <c r="C89" s="10" t="s">
        <v>217</v>
      </c>
      <c r="D89" s="13" t="s">
        <v>575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213</v>
      </c>
      <c r="C90" s="10" t="s">
        <v>52</v>
      </c>
      <c r="D90" s="13" t="s">
        <v>574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215</v>
      </c>
      <c r="C91" s="15" t="s">
        <v>72</v>
      </c>
      <c r="D91" s="13" t="s">
        <v>131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216</v>
      </c>
      <c r="C92" s="15" t="s">
        <v>72</v>
      </c>
      <c r="D92" s="13" t="s">
        <v>67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220</v>
      </c>
      <c r="C93" s="2" t="s">
        <v>221</v>
      </c>
      <c r="D93" s="8" t="s">
        <v>75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224</v>
      </c>
      <c r="C94" s="15" t="s">
        <v>554</v>
      </c>
      <c r="D94" s="13" t="s">
        <v>108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120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226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227</v>
      </c>
      <c r="C98" s="2" t="s">
        <v>626</v>
      </c>
      <c r="D98" s="14" t="s">
        <v>36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214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235</v>
      </c>
      <c r="C100" s="2" t="s">
        <v>627</v>
      </c>
      <c r="D100" s="13" t="s">
        <v>70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236</v>
      </c>
      <c r="C101" s="2" t="s">
        <v>199</v>
      </c>
      <c r="D101" s="13" t="s">
        <v>75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120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239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36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911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517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108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120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257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259</v>
      </c>
      <c r="C115" s="2" t="s">
        <v>260</v>
      </c>
      <c r="D115" s="13" t="s">
        <v>70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192</v>
      </c>
      <c r="C116" s="10" t="s">
        <v>912</v>
      </c>
      <c r="D116" s="13" t="s">
        <v>172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120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280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124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283</v>
      </c>
      <c r="C121" s="10" t="s">
        <v>630</v>
      </c>
      <c r="D121" s="13" t="s">
        <v>209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285</v>
      </c>
      <c r="C122" s="10" t="s">
        <v>631</v>
      </c>
      <c r="D122" s="13" t="s">
        <v>39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913</v>
      </c>
      <c r="C123" s="10" t="s">
        <v>631</v>
      </c>
      <c r="D123" s="13" t="s">
        <v>50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47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289</v>
      </c>
      <c r="C125" s="10" t="s">
        <v>632</v>
      </c>
      <c r="D125" s="13" t="s">
        <v>53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214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294</v>
      </c>
      <c r="C127" s="10" t="s">
        <v>633</v>
      </c>
      <c r="D127" s="8" t="s">
        <v>86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111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111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120</v>
      </c>
      <c r="C130" s="24" t="s">
        <v>634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301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914</v>
      </c>
      <c r="C133" s="10" t="s">
        <v>915</v>
      </c>
      <c r="D133" s="13" t="s">
        <v>124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916</v>
      </c>
      <c r="C134" s="10" t="s">
        <v>917</v>
      </c>
      <c r="D134" s="13" t="s">
        <v>36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36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307</v>
      </c>
      <c r="C136" s="10" t="s">
        <v>918</v>
      </c>
      <c r="D136" s="13" t="s">
        <v>191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191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191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231</v>
      </c>
      <c r="C139" s="10" t="s">
        <v>919</v>
      </c>
      <c r="D139" s="13" t="s">
        <v>172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314</v>
      </c>
      <c r="C140" s="10" t="s">
        <v>919</v>
      </c>
      <c r="D140" s="13" t="s">
        <v>172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315</v>
      </c>
      <c r="C141" s="2" t="s">
        <v>920</v>
      </c>
      <c r="D141" s="13" t="s">
        <v>172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317</v>
      </c>
      <c r="C142" s="10" t="s">
        <v>636</v>
      </c>
      <c r="D142" s="13" t="s">
        <v>70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131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62</v>
      </c>
      <c r="C144" s="10" t="s">
        <v>921</v>
      </c>
      <c r="D144" s="13" t="s">
        <v>172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179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323</v>
      </c>
      <c r="C146" s="2" t="s">
        <v>922</v>
      </c>
      <c r="D146" s="13" t="s">
        <v>78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324</v>
      </c>
      <c r="C147" s="2" t="s">
        <v>922</v>
      </c>
      <c r="D147" s="13" t="s">
        <v>151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326</v>
      </c>
      <c r="C148" s="2" t="s">
        <v>922</v>
      </c>
      <c r="D148" s="13" t="s">
        <v>151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75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329</v>
      </c>
      <c r="C150" s="10" t="s">
        <v>330</v>
      </c>
      <c r="D150" s="8" t="s">
        <v>99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331</v>
      </c>
      <c r="C151" s="10" t="s">
        <v>637</v>
      </c>
      <c r="D151" s="13" t="s">
        <v>78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333</v>
      </c>
      <c r="C152" s="10" t="s">
        <v>638</v>
      </c>
      <c r="D152" s="13" t="s">
        <v>86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335</v>
      </c>
      <c r="C153" s="10" t="s">
        <v>639</v>
      </c>
      <c r="D153" s="13" t="s">
        <v>78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336</v>
      </c>
      <c r="C154" s="10" t="s">
        <v>640</v>
      </c>
      <c r="D154" s="13" t="s">
        <v>86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225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111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111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111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351</v>
      </c>
      <c r="C159" s="10" t="s">
        <v>641</v>
      </c>
      <c r="D159" s="13" t="s">
        <v>108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111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361</v>
      </c>
      <c r="C161" s="10" t="s">
        <v>556</v>
      </c>
      <c r="D161" s="13" t="s">
        <v>386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364</v>
      </c>
      <c r="C162" s="10" t="s">
        <v>556</v>
      </c>
      <c r="D162" s="13" t="s">
        <v>386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642</v>
      </c>
      <c r="C163" s="10" t="s">
        <v>556</v>
      </c>
      <c r="D163" s="13" t="s">
        <v>386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365</v>
      </c>
      <c r="C164" s="10" t="s">
        <v>556</v>
      </c>
      <c r="D164" s="13" t="s">
        <v>386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366</v>
      </c>
      <c r="C165" s="10" t="s">
        <v>556</v>
      </c>
      <c r="D165" s="13" t="s">
        <v>386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367</v>
      </c>
      <c r="C166" s="10" t="s">
        <v>556</v>
      </c>
      <c r="D166" s="13" t="s">
        <v>379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369</v>
      </c>
      <c r="C167" s="10" t="s">
        <v>556</v>
      </c>
      <c r="D167" s="13" t="s">
        <v>379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370</v>
      </c>
      <c r="C168" s="10" t="s">
        <v>556</v>
      </c>
      <c r="D168" s="13" t="s">
        <v>379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371</v>
      </c>
      <c r="C169" s="10" t="s">
        <v>556</v>
      </c>
      <c r="D169" s="13" t="s">
        <v>379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372</v>
      </c>
      <c r="C170" s="10" t="s">
        <v>556</v>
      </c>
      <c r="D170" s="13" t="s">
        <v>379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359</v>
      </c>
      <c r="C171" s="10" t="s">
        <v>556</v>
      </c>
      <c r="D171" s="13" t="s">
        <v>379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373</v>
      </c>
      <c r="C172" s="10" t="s">
        <v>362</v>
      </c>
      <c r="D172" s="13" t="s">
        <v>583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375</v>
      </c>
      <c r="C173" s="10" t="s">
        <v>362</v>
      </c>
      <c r="D173" s="13" t="s">
        <v>583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376</v>
      </c>
      <c r="C174" s="10" t="s">
        <v>362</v>
      </c>
      <c r="D174" s="13" t="s">
        <v>582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378</v>
      </c>
      <c r="C175" s="10" t="s">
        <v>389</v>
      </c>
      <c r="D175" s="13" t="s">
        <v>584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380</v>
      </c>
      <c r="C176" s="10" t="s">
        <v>558</v>
      </c>
      <c r="D176" s="13" t="s">
        <v>645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381</v>
      </c>
      <c r="C177" s="10" t="s">
        <v>558</v>
      </c>
      <c r="D177" s="13" t="s">
        <v>645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382</v>
      </c>
      <c r="C178" s="10" t="s">
        <v>558</v>
      </c>
      <c r="D178" s="13" t="s">
        <v>645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383</v>
      </c>
      <c r="C179" s="10" t="s">
        <v>558</v>
      </c>
      <c r="D179" s="13" t="s">
        <v>645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384</v>
      </c>
      <c r="C180" s="10" t="s">
        <v>558</v>
      </c>
      <c r="D180" s="13" t="s">
        <v>645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385</v>
      </c>
      <c r="C181" s="10" t="s">
        <v>558</v>
      </c>
      <c r="D181" s="13" t="s">
        <v>645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387</v>
      </c>
      <c r="C182" s="10" t="s">
        <v>558</v>
      </c>
      <c r="D182" s="13" t="s">
        <v>645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644</v>
      </c>
      <c r="C183" s="10" t="s">
        <v>389</v>
      </c>
      <c r="D183" s="13" t="s">
        <v>645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388</v>
      </c>
      <c r="C184" s="10" t="s">
        <v>389</v>
      </c>
      <c r="D184" s="13" t="s">
        <v>645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360</v>
      </c>
      <c r="C185" s="10" t="s">
        <v>392</v>
      </c>
      <c r="D185" s="13" t="s">
        <v>393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394</v>
      </c>
      <c r="C186" s="10" t="s">
        <v>558</v>
      </c>
      <c r="D186" s="13" t="s">
        <v>400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398</v>
      </c>
      <c r="C187" s="10" t="s">
        <v>399</v>
      </c>
      <c r="D187" s="13" t="s">
        <v>923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401</v>
      </c>
      <c r="C188" s="10" t="s">
        <v>399</v>
      </c>
      <c r="D188" s="13" t="s">
        <v>923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402</v>
      </c>
      <c r="C189" s="10" t="s">
        <v>399</v>
      </c>
      <c r="D189" s="13" t="s">
        <v>923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403</v>
      </c>
      <c r="C190" s="10" t="s">
        <v>404</v>
      </c>
      <c r="D190" s="13" t="s">
        <v>395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406</v>
      </c>
      <c r="C191" s="10" t="s">
        <v>404</v>
      </c>
      <c r="D191" s="13" t="s">
        <v>395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120</v>
      </c>
      <c r="C192" s="26" t="s">
        <v>924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408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1124" t="s">
        <v>0</v>
      </c>
      <c r="B1" s="1124"/>
      <c r="C1" s="1124"/>
      <c r="D1" s="1124"/>
      <c r="E1" s="1124"/>
      <c r="F1" s="112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1510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1511</v>
      </c>
      <c r="E4" s="65" t="s">
        <v>5</v>
      </c>
      <c r="F4" s="19" t="s">
        <v>494</v>
      </c>
      <c r="G4" s="19" t="s">
        <v>1148</v>
      </c>
      <c r="H4" s="65" t="s">
        <v>1149</v>
      </c>
      <c r="I4" s="19" t="s">
        <v>1150</v>
      </c>
      <c r="J4" s="19" t="s">
        <v>1151</v>
      </c>
      <c r="K4" s="19" t="s">
        <v>1152</v>
      </c>
      <c r="L4" s="65" t="s">
        <v>7</v>
      </c>
      <c r="M4" s="65" t="s">
        <v>7</v>
      </c>
      <c r="N4" s="19" t="s">
        <v>1153</v>
      </c>
      <c r="O4" s="19" t="s">
        <v>1153</v>
      </c>
      <c r="P4" s="65" t="s">
        <v>8</v>
      </c>
      <c r="Q4" s="269" t="s">
        <v>1030</v>
      </c>
      <c r="R4" s="5" t="s">
        <v>562</v>
      </c>
      <c r="S4" s="269" t="s">
        <v>1031</v>
      </c>
      <c r="T4" s="65" t="s">
        <v>1032</v>
      </c>
      <c r="U4" s="65" t="s">
        <v>1033</v>
      </c>
      <c r="V4" s="65" t="s">
        <v>596</v>
      </c>
      <c r="W4" s="65" t="s">
        <v>1034</v>
      </c>
      <c r="X4" s="65" t="s">
        <v>1035</v>
      </c>
      <c r="Y4" s="282" t="s">
        <v>1036</v>
      </c>
      <c r="Z4" s="283" t="s">
        <v>1037</v>
      </c>
      <c r="AA4" s="65" t="s">
        <v>471</v>
      </c>
      <c r="AB4" s="284" t="s">
        <v>816</v>
      </c>
    </row>
    <row r="5" spans="1:30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270" t="s">
        <v>21</v>
      </c>
      <c r="R5" s="6"/>
      <c r="S5" s="270" t="s">
        <v>21</v>
      </c>
      <c r="T5" s="67"/>
      <c r="U5" s="67" t="s">
        <v>21</v>
      </c>
      <c r="V5" s="67"/>
      <c r="W5" s="271" t="s">
        <v>21</v>
      </c>
      <c r="X5" s="67"/>
      <c r="Y5" s="67"/>
      <c r="Z5" s="196"/>
      <c r="AA5" s="67"/>
      <c r="AB5" s="196"/>
    </row>
    <row r="6" spans="1:30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1512</v>
      </c>
      <c r="C7" s="1" t="s">
        <v>1513</v>
      </c>
      <c r="D7" s="13" t="s">
        <v>105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225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120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137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138</v>
      </c>
      <c r="C11" s="2" t="s">
        <v>142</v>
      </c>
      <c r="D11" s="8" t="s">
        <v>39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578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144</v>
      </c>
      <c r="C12" s="2" t="s">
        <v>46</v>
      </c>
      <c r="D12" s="8" t="s">
        <v>47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42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120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280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283</v>
      </c>
      <c r="C17" s="10" t="s">
        <v>631</v>
      </c>
      <c r="D17" s="13" t="s">
        <v>39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578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289</v>
      </c>
      <c r="C18" s="10" t="s">
        <v>632</v>
      </c>
      <c r="D18" s="13" t="s">
        <v>575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1514</v>
      </c>
      <c r="S18" s="70">
        <f>'JANUARY 2026'!J172</f>
        <v>659657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120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280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373</v>
      </c>
      <c r="C22" s="10" t="s">
        <v>389</v>
      </c>
      <c r="D22" s="13" t="s">
        <v>584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583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'[17]October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375</v>
      </c>
      <c r="C23" s="265" t="s">
        <v>389</v>
      </c>
      <c r="D23" s="266" t="s">
        <v>584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583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'[17]October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376</v>
      </c>
      <c r="C24" s="10" t="s">
        <v>389</v>
      </c>
      <c r="D24" s="13" t="s">
        <v>390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583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'[17]October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408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1174" t="s">
        <v>0</v>
      </c>
      <c r="B1" s="1174"/>
      <c r="C1" s="1174"/>
      <c r="D1" s="1174"/>
      <c r="E1" s="1174"/>
    </row>
    <row r="2" spans="1:6" ht="33.75" customHeight="1">
      <c r="A2" s="202" t="s">
        <v>1515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551</v>
      </c>
    </row>
    <row r="5" spans="1:6" ht="17.25" customHeight="1">
      <c r="C5" s="6"/>
      <c r="D5" s="6"/>
      <c r="E5" s="320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320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318">
        <v>540000</v>
      </c>
      <c r="F7" s="11"/>
    </row>
    <row r="8" spans="1:6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318">
        <v>180000</v>
      </c>
      <c r="F8" s="11"/>
    </row>
    <row r="9" spans="1:6" ht="20.100000000000001" customHeight="1">
      <c r="A9" s="8">
        <v>3</v>
      </c>
      <c r="B9" s="12" t="s">
        <v>30</v>
      </c>
      <c r="C9" s="2" t="s">
        <v>31</v>
      </c>
      <c r="D9" s="13" t="s">
        <v>209</v>
      </c>
      <c r="E9" s="318">
        <v>180000</v>
      </c>
      <c r="F9" s="11"/>
    </row>
    <row r="10" spans="1:6" ht="20.100000000000001" customHeight="1">
      <c r="A10" s="8">
        <v>4</v>
      </c>
      <c r="B10" s="9" t="s">
        <v>32</v>
      </c>
      <c r="C10" s="15" t="s">
        <v>33</v>
      </c>
      <c r="D10" s="14" t="s">
        <v>209</v>
      </c>
      <c r="E10" s="318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890</v>
      </c>
      <c r="D11" s="14" t="s">
        <v>209</v>
      </c>
      <c r="E11" s="318">
        <v>180000</v>
      </c>
      <c r="F11" s="11"/>
    </row>
    <row r="12" spans="1:6" ht="20.100000000000001" customHeight="1">
      <c r="A12" s="8">
        <v>6</v>
      </c>
      <c r="B12" s="16" t="s">
        <v>891</v>
      </c>
      <c r="C12" s="8" t="s">
        <v>892</v>
      </c>
      <c r="D12" s="13" t="s">
        <v>209</v>
      </c>
      <c r="E12" s="318">
        <v>180000</v>
      </c>
      <c r="F12" s="11"/>
    </row>
    <row r="13" spans="1:6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318">
        <v>126000</v>
      </c>
      <c r="F13" s="11"/>
    </row>
    <row r="14" spans="1:6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318">
        <v>126000</v>
      </c>
      <c r="F14" s="11"/>
    </row>
    <row r="15" spans="1:6" ht="20.100000000000001" customHeight="1">
      <c r="A15" s="8">
        <v>9</v>
      </c>
      <c r="B15" s="9" t="s">
        <v>40</v>
      </c>
      <c r="C15" s="2" t="s">
        <v>619</v>
      </c>
      <c r="D15" s="13" t="s">
        <v>47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43</v>
      </c>
      <c r="C16" s="15" t="s">
        <v>52</v>
      </c>
      <c r="D16" s="13" t="s">
        <v>214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48</v>
      </c>
      <c r="C17" s="2" t="s">
        <v>894</v>
      </c>
      <c r="D17" s="8" t="s">
        <v>56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51</v>
      </c>
      <c r="C18" s="10" t="s">
        <v>61</v>
      </c>
      <c r="D18" s="13" t="s">
        <v>218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54</v>
      </c>
      <c r="C19" s="2" t="s">
        <v>55</v>
      </c>
      <c r="D19" s="13" t="s">
        <v>576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65</v>
      </c>
      <c r="C20" s="10" t="s">
        <v>177</v>
      </c>
      <c r="D20" s="13" t="s">
        <v>131</v>
      </c>
      <c r="E20" s="318">
        <v>54000</v>
      </c>
      <c r="F20" s="11"/>
    </row>
    <row r="21" spans="1:6" ht="20.100000000000001" customHeight="1">
      <c r="A21" s="8">
        <v>15</v>
      </c>
      <c r="B21" s="12" t="s">
        <v>68</v>
      </c>
      <c r="C21" s="15" t="s">
        <v>69</v>
      </c>
      <c r="D21" s="8" t="s">
        <v>179</v>
      </c>
      <c r="E21" s="318">
        <v>54000</v>
      </c>
      <c r="F21" s="11"/>
    </row>
    <row r="22" spans="1:6" ht="20.100000000000001" customHeight="1">
      <c r="A22" s="8">
        <v>16</v>
      </c>
      <c r="B22" s="12" t="s">
        <v>73</v>
      </c>
      <c r="C22" s="15" t="s">
        <v>74</v>
      </c>
      <c r="D22" s="8" t="s">
        <v>81</v>
      </c>
      <c r="E22" s="318">
        <v>54000</v>
      </c>
      <c r="F22" s="11"/>
    </row>
    <row r="23" spans="1:6" ht="18.75" customHeight="1">
      <c r="A23" s="8">
        <v>17</v>
      </c>
      <c r="B23" s="2" t="s">
        <v>483</v>
      </c>
      <c r="C23" s="2" t="s">
        <v>94</v>
      </c>
      <c r="D23" s="8" t="s">
        <v>99</v>
      </c>
      <c r="E23" s="318">
        <v>54000</v>
      </c>
      <c r="F23" s="11"/>
    </row>
    <row r="24" spans="1:6" ht="18.75" customHeight="1">
      <c r="A24" s="8">
        <v>18</v>
      </c>
      <c r="B24" s="16" t="s">
        <v>79</v>
      </c>
      <c r="C24" s="10" t="s">
        <v>94</v>
      </c>
      <c r="D24" s="13" t="s">
        <v>99</v>
      </c>
      <c r="E24" s="318">
        <v>54000</v>
      </c>
      <c r="F24" s="11"/>
    </row>
    <row r="25" spans="1:6" ht="18.75" customHeight="1">
      <c r="A25" s="8">
        <v>19</v>
      </c>
      <c r="B25" s="16" t="s">
        <v>84</v>
      </c>
      <c r="C25" s="10" t="s">
        <v>85</v>
      </c>
      <c r="D25" s="13" t="s">
        <v>225</v>
      </c>
      <c r="E25" s="318">
        <v>54000</v>
      </c>
      <c r="F25" s="11"/>
    </row>
    <row r="26" spans="1:6" ht="18.75" customHeight="1">
      <c r="A26" s="8">
        <v>20</v>
      </c>
      <c r="B26" s="16" t="s">
        <v>87</v>
      </c>
      <c r="C26" s="2" t="s">
        <v>88</v>
      </c>
      <c r="D26" s="8" t="s">
        <v>225</v>
      </c>
      <c r="E26" s="318">
        <v>54000</v>
      </c>
      <c r="F26" s="11"/>
    </row>
    <row r="27" spans="1:6" ht="18.75" customHeight="1">
      <c r="A27" s="8">
        <v>21</v>
      </c>
      <c r="B27" s="16" t="s">
        <v>91</v>
      </c>
      <c r="C27" s="15" t="s">
        <v>622</v>
      </c>
      <c r="D27" s="13" t="s">
        <v>99</v>
      </c>
      <c r="E27" s="318">
        <v>54000</v>
      </c>
      <c r="F27" s="11"/>
    </row>
    <row r="28" spans="1:6" ht="18.75" customHeight="1">
      <c r="A28" s="8">
        <v>22</v>
      </c>
      <c r="B28" s="16" t="s">
        <v>95</v>
      </c>
      <c r="C28" s="2" t="s">
        <v>623</v>
      </c>
      <c r="D28" s="8" t="s">
        <v>111</v>
      </c>
      <c r="E28" s="318">
        <v>54000</v>
      </c>
      <c r="F28" s="11"/>
    </row>
    <row r="29" spans="1:6" ht="18.75" customHeight="1">
      <c r="A29" s="8">
        <v>23</v>
      </c>
      <c r="B29" s="16" t="s">
        <v>1509</v>
      </c>
      <c r="C29" s="10" t="s">
        <v>104</v>
      </c>
      <c r="D29" s="13" t="s">
        <v>111</v>
      </c>
      <c r="E29" s="318">
        <v>54000</v>
      </c>
      <c r="F29" s="11"/>
    </row>
    <row r="30" spans="1:6" ht="18.75" customHeight="1">
      <c r="A30" s="8">
        <v>24</v>
      </c>
      <c r="B30" s="16" t="s">
        <v>103</v>
      </c>
      <c r="C30" s="10" t="s">
        <v>104</v>
      </c>
      <c r="D30" s="13" t="s">
        <v>277</v>
      </c>
      <c r="E30" s="318">
        <v>54000</v>
      </c>
      <c r="F30" s="11"/>
    </row>
    <row r="31" spans="1:6" ht="26.25" customHeight="1">
      <c r="A31" s="8"/>
      <c r="B31" s="18" t="s">
        <v>120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121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122</v>
      </c>
      <c r="C34" s="2" t="s">
        <v>123</v>
      </c>
      <c r="D34" s="8" t="s">
        <v>124</v>
      </c>
      <c r="E34" s="318">
        <v>270000</v>
      </c>
      <c r="F34" s="11"/>
    </row>
    <row r="35" spans="1:6" ht="18.75" customHeight="1">
      <c r="A35" s="8">
        <v>2</v>
      </c>
      <c r="B35" s="16" t="s">
        <v>127</v>
      </c>
      <c r="C35" s="2" t="s">
        <v>1122</v>
      </c>
      <c r="D35" s="8" t="s">
        <v>277</v>
      </c>
      <c r="E35" s="318">
        <v>54000</v>
      </c>
      <c r="F35" s="11"/>
    </row>
    <row r="36" spans="1:6" ht="18.75" customHeight="1">
      <c r="A36" s="8">
        <v>3</v>
      </c>
      <c r="B36" s="9" t="s">
        <v>129</v>
      </c>
      <c r="C36" s="10" t="s">
        <v>1119</v>
      </c>
      <c r="D36" s="13" t="s">
        <v>81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137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895</v>
      </c>
      <c r="C40" s="2" t="s">
        <v>896</v>
      </c>
      <c r="D40" s="8" t="s">
        <v>124</v>
      </c>
      <c r="E40" s="318">
        <v>270000</v>
      </c>
      <c r="F40" s="11"/>
    </row>
    <row r="41" spans="1:6" ht="20.100000000000001" customHeight="1">
      <c r="A41" s="8">
        <v>2</v>
      </c>
      <c r="B41" s="9" t="s">
        <v>138</v>
      </c>
      <c r="C41" s="2" t="s">
        <v>624</v>
      </c>
      <c r="D41" s="8" t="s">
        <v>578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897</v>
      </c>
      <c r="C42" s="2" t="s">
        <v>44</v>
      </c>
      <c r="D42" s="8" t="s">
        <v>39</v>
      </c>
      <c r="E42" s="318">
        <v>126000</v>
      </c>
      <c r="F42" s="11"/>
    </row>
    <row r="43" spans="1:6" ht="20.100000000000001" customHeight="1">
      <c r="A43" s="8">
        <v>4</v>
      </c>
      <c r="B43" s="9" t="s">
        <v>141</v>
      </c>
      <c r="C43" s="2" t="s">
        <v>142</v>
      </c>
      <c r="D43" s="8" t="s">
        <v>39</v>
      </c>
      <c r="E43" s="318">
        <v>126000</v>
      </c>
      <c r="F43" s="11"/>
    </row>
    <row r="44" spans="1:6" ht="20.100000000000001" customHeight="1">
      <c r="A44" s="8">
        <v>5</v>
      </c>
      <c r="B44" s="9" t="s">
        <v>143</v>
      </c>
      <c r="C44" s="2" t="s">
        <v>142</v>
      </c>
      <c r="D44" s="8" t="s">
        <v>50</v>
      </c>
      <c r="E44" s="318">
        <v>126000</v>
      </c>
      <c r="F44" s="11"/>
    </row>
    <row r="45" spans="1:6" ht="20.100000000000001" customHeight="1">
      <c r="A45" s="8">
        <v>6</v>
      </c>
      <c r="B45" s="9" t="s">
        <v>144</v>
      </c>
      <c r="C45" s="2" t="s">
        <v>142</v>
      </c>
      <c r="D45" s="8" t="s">
        <v>42</v>
      </c>
      <c r="E45" s="318">
        <v>126000</v>
      </c>
      <c r="F45" s="11"/>
    </row>
    <row r="46" spans="1:6" ht="20.100000000000001" customHeight="1">
      <c r="A46" s="8">
        <v>7</v>
      </c>
      <c r="B46" s="12" t="s">
        <v>145</v>
      </c>
      <c r="C46" s="2" t="s">
        <v>52</v>
      </c>
      <c r="D46" s="14" t="s">
        <v>47</v>
      </c>
      <c r="E46" s="318">
        <v>90000</v>
      </c>
      <c r="F46" s="11"/>
    </row>
    <row r="47" spans="1:6" ht="20.100000000000001" customHeight="1">
      <c r="A47" s="8">
        <v>8</v>
      </c>
      <c r="B47" s="9" t="s">
        <v>45</v>
      </c>
      <c r="C47" s="2" t="s">
        <v>46</v>
      </c>
      <c r="D47" s="8" t="s">
        <v>53</v>
      </c>
      <c r="E47" s="318">
        <v>90000</v>
      </c>
      <c r="F47" s="11"/>
    </row>
    <row r="48" spans="1:6" ht="20.100000000000001" customHeight="1">
      <c r="A48" s="8">
        <v>9</v>
      </c>
      <c r="B48" s="9" t="s">
        <v>149</v>
      </c>
      <c r="C48" s="2" t="s">
        <v>150</v>
      </c>
      <c r="D48" s="8" t="s">
        <v>81</v>
      </c>
      <c r="E48" s="318">
        <v>54000</v>
      </c>
      <c r="F48" s="11"/>
    </row>
    <row r="49" spans="1:6" ht="20.100000000000001" customHeight="1">
      <c r="A49" s="8">
        <v>10</v>
      </c>
      <c r="B49" s="9" t="s">
        <v>153</v>
      </c>
      <c r="C49" s="2" t="s">
        <v>150</v>
      </c>
      <c r="D49" s="8" t="s">
        <v>225</v>
      </c>
      <c r="E49" s="318">
        <v>54000</v>
      </c>
      <c r="F49" s="11"/>
    </row>
    <row r="50" spans="1:6" ht="20.100000000000001" customHeight="1">
      <c r="A50" s="8">
        <v>11</v>
      </c>
      <c r="B50" s="9" t="s">
        <v>898</v>
      </c>
      <c r="C50" s="2" t="s">
        <v>150</v>
      </c>
      <c r="D50" s="8" t="s">
        <v>225</v>
      </c>
      <c r="E50" s="318">
        <v>54000</v>
      </c>
      <c r="F50" s="11"/>
    </row>
    <row r="51" spans="1:6" ht="20.100000000000001" customHeight="1">
      <c r="A51" s="8">
        <v>12</v>
      </c>
      <c r="B51" s="9" t="s">
        <v>155</v>
      </c>
      <c r="C51" s="2" t="s">
        <v>150</v>
      </c>
      <c r="D51" s="8" t="s">
        <v>225</v>
      </c>
      <c r="E51" s="318">
        <v>54000</v>
      </c>
      <c r="F51" s="11"/>
    </row>
    <row r="52" spans="1:6" ht="25.5" customHeight="1">
      <c r="A52" s="8"/>
      <c r="B52" s="18" t="s">
        <v>120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157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899</v>
      </c>
      <c r="C55" s="10" t="s">
        <v>159</v>
      </c>
      <c r="D55" s="13" t="s">
        <v>124</v>
      </c>
      <c r="E55" s="318">
        <v>270000</v>
      </c>
      <c r="F55" s="11"/>
    </row>
    <row r="56" spans="1:6" ht="20.100000000000001" customHeight="1">
      <c r="A56" s="8">
        <v>2</v>
      </c>
      <c r="B56" s="9" t="s">
        <v>160</v>
      </c>
      <c r="C56" s="10" t="s">
        <v>161</v>
      </c>
      <c r="D56" s="13" t="s">
        <v>908</v>
      </c>
      <c r="E56" s="318">
        <v>126000</v>
      </c>
      <c r="F56" s="11"/>
    </row>
    <row r="57" spans="1:6" ht="20.100000000000001" customHeight="1">
      <c r="A57" s="8"/>
      <c r="B57" s="18" t="s">
        <v>120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163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900</v>
      </c>
      <c r="C60" s="15" t="s">
        <v>901</v>
      </c>
      <c r="D60" s="8" t="s">
        <v>124</v>
      </c>
      <c r="E60" s="318">
        <v>270000</v>
      </c>
      <c r="F60" s="11"/>
    </row>
    <row r="61" spans="1:6" ht="20.100000000000001" customHeight="1">
      <c r="A61" s="8">
        <v>2</v>
      </c>
      <c r="B61" s="313" t="s">
        <v>902</v>
      </c>
      <c r="C61" s="15" t="s">
        <v>903</v>
      </c>
      <c r="D61" s="13" t="s">
        <v>1516</v>
      </c>
      <c r="E61" s="318">
        <v>126000</v>
      </c>
      <c r="F61" s="11"/>
    </row>
    <row r="62" spans="1:6" ht="20.100000000000001" customHeight="1">
      <c r="A62" s="8">
        <v>3</v>
      </c>
      <c r="B62" s="9" t="s">
        <v>166</v>
      </c>
      <c r="C62" s="2" t="s">
        <v>52</v>
      </c>
      <c r="D62" s="8" t="s">
        <v>53</v>
      </c>
      <c r="E62" s="318">
        <v>90000</v>
      </c>
      <c r="F62" s="11"/>
    </row>
    <row r="63" spans="1:6" ht="20.100000000000001" customHeight="1">
      <c r="A63" s="8">
        <v>4</v>
      </c>
      <c r="B63" s="16" t="s">
        <v>904</v>
      </c>
      <c r="C63" s="15" t="s">
        <v>217</v>
      </c>
      <c r="D63" s="13" t="s">
        <v>218</v>
      </c>
      <c r="E63" s="318">
        <v>90000</v>
      </c>
      <c r="F63" s="11"/>
    </row>
    <row r="64" spans="1:6" ht="20.100000000000001" customHeight="1">
      <c r="A64" s="8">
        <v>5</v>
      </c>
      <c r="B64" s="12" t="s">
        <v>905</v>
      </c>
      <c r="C64" s="15" t="s">
        <v>52</v>
      </c>
      <c r="D64" s="13" t="s">
        <v>47</v>
      </c>
      <c r="E64" s="318">
        <v>90000</v>
      </c>
      <c r="F64" s="11"/>
    </row>
    <row r="65" spans="1:6" ht="20.100000000000001" customHeight="1">
      <c r="A65" s="8">
        <v>7</v>
      </c>
      <c r="B65" s="9" t="s">
        <v>170</v>
      </c>
      <c r="C65" s="2" t="s">
        <v>150</v>
      </c>
      <c r="D65" s="8" t="s">
        <v>179</v>
      </c>
      <c r="E65" s="318">
        <v>54000</v>
      </c>
      <c r="F65" s="11"/>
    </row>
    <row r="66" spans="1:6" ht="20.100000000000001" customHeight="1">
      <c r="A66" s="8">
        <v>8</v>
      </c>
      <c r="B66" s="9" t="s">
        <v>171</v>
      </c>
      <c r="C66" s="15" t="s">
        <v>72</v>
      </c>
      <c r="D66" s="13" t="s">
        <v>179</v>
      </c>
      <c r="E66" s="318">
        <v>54000</v>
      </c>
      <c r="F66" s="11"/>
    </row>
    <row r="67" spans="1:6" ht="20.100000000000001" customHeight="1">
      <c r="A67" s="8">
        <v>9</v>
      </c>
      <c r="B67" s="9" t="s">
        <v>173</v>
      </c>
      <c r="C67" s="15" t="s">
        <v>72</v>
      </c>
      <c r="D67" s="13" t="s">
        <v>179</v>
      </c>
      <c r="E67" s="318">
        <v>54000</v>
      </c>
      <c r="F67" s="11"/>
    </row>
    <row r="68" spans="1:6" ht="20.100000000000001" customHeight="1">
      <c r="A68" s="8">
        <v>10</v>
      </c>
      <c r="B68" s="9" t="s">
        <v>174</v>
      </c>
      <c r="C68" s="2" t="s">
        <v>625</v>
      </c>
      <c r="D68" s="8" t="s">
        <v>131</v>
      </c>
      <c r="E68" s="318">
        <v>54000</v>
      </c>
      <c r="F68" s="11"/>
    </row>
    <row r="69" spans="1:6" ht="21.6" customHeight="1">
      <c r="A69" s="8">
        <v>11</v>
      </c>
      <c r="B69" s="9" t="s">
        <v>178</v>
      </c>
      <c r="C69" s="2" t="s">
        <v>150</v>
      </c>
      <c r="D69" s="8" t="s">
        <v>81</v>
      </c>
      <c r="E69" s="318">
        <v>54000</v>
      </c>
    </row>
    <row r="70" spans="1:6" ht="20.100000000000001" customHeight="1">
      <c r="A70" s="8">
        <v>12</v>
      </c>
      <c r="B70" s="9" t="s">
        <v>82</v>
      </c>
      <c r="C70" s="15" t="s">
        <v>69</v>
      </c>
      <c r="D70" s="8" t="s">
        <v>99</v>
      </c>
      <c r="E70" s="318">
        <v>54000</v>
      </c>
      <c r="F70" s="11"/>
    </row>
    <row r="71" spans="1:6" ht="27" customHeight="1">
      <c r="A71" s="8"/>
      <c r="B71" s="18" t="s">
        <v>120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182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183</v>
      </c>
      <c r="C74" s="2" t="s">
        <v>184</v>
      </c>
      <c r="D74" s="8" t="s">
        <v>124</v>
      </c>
      <c r="E74" s="318">
        <v>270000</v>
      </c>
      <c r="F74" s="11"/>
    </row>
    <row r="75" spans="1:6" ht="20.100000000000001" customHeight="1">
      <c r="A75" s="8">
        <v>2</v>
      </c>
      <c r="B75" s="12" t="s">
        <v>906</v>
      </c>
      <c r="C75" s="2" t="s">
        <v>907</v>
      </c>
      <c r="D75" s="13" t="s">
        <v>1516</v>
      </c>
      <c r="E75" s="318">
        <v>126000</v>
      </c>
      <c r="F75" s="11"/>
    </row>
    <row r="76" spans="1:6" ht="20.100000000000001" customHeight="1">
      <c r="A76" s="8">
        <v>3</v>
      </c>
      <c r="B76" s="16" t="s">
        <v>185</v>
      </c>
      <c r="C76" s="10" t="s">
        <v>909</v>
      </c>
      <c r="D76" s="8" t="s">
        <v>908</v>
      </c>
      <c r="E76" s="318">
        <v>126000</v>
      </c>
      <c r="F76" s="11"/>
    </row>
    <row r="77" spans="1:6" ht="20.100000000000001" customHeight="1">
      <c r="A77" s="8">
        <v>4</v>
      </c>
      <c r="B77" s="9" t="s">
        <v>189</v>
      </c>
      <c r="C77" s="2" t="s">
        <v>190</v>
      </c>
      <c r="D77" s="13" t="s">
        <v>53</v>
      </c>
      <c r="E77" s="318">
        <v>90000</v>
      </c>
      <c r="F77" s="11"/>
    </row>
    <row r="78" spans="1:6" ht="20.100000000000001" customHeight="1">
      <c r="A78" s="8">
        <v>5</v>
      </c>
      <c r="B78" s="9" t="s">
        <v>196</v>
      </c>
      <c r="C78" s="2" t="s">
        <v>181</v>
      </c>
      <c r="D78" s="8" t="s">
        <v>75</v>
      </c>
      <c r="E78" s="318">
        <v>54000</v>
      </c>
      <c r="F78" s="11"/>
    </row>
    <row r="79" spans="1:6" ht="20.100000000000001" customHeight="1">
      <c r="A79" s="8">
        <v>6</v>
      </c>
      <c r="B79" s="9" t="s">
        <v>200</v>
      </c>
      <c r="C79" s="2" t="s">
        <v>181</v>
      </c>
      <c r="D79" s="8" t="s">
        <v>225</v>
      </c>
      <c r="E79" s="318">
        <v>54000</v>
      </c>
      <c r="F79" s="11"/>
    </row>
    <row r="80" spans="1:6" ht="20.100000000000001" customHeight="1">
      <c r="A80" s="8">
        <v>7</v>
      </c>
      <c r="B80" s="9" t="s">
        <v>202</v>
      </c>
      <c r="C80" s="2" t="s">
        <v>203</v>
      </c>
      <c r="D80" s="8" t="s">
        <v>277</v>
      </c>
      <c r="E80" s="318">
        <v>54000</v>
      </c>
      <c r="F80" s="11"/>
    </row>
    <row r="81" spans="1:6" ht="20.100000000000001" customHeight="1">
      <c r="A81" s="8"/>
      <c r="B81" s="18" t="s">
        <v>120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204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207</v>
      </c>
      <c r="C84" s="2" t="s">
        <v>142</v>
      </c>
      <c r="D84" s="8" t="s">
        <v>39</v>
      </c>
      <c r="E84" s="318">
        <v>126000</v>
      </c>
      <c r="F84" s="11"/>
    </row>
    <row r="85" spans="1:6" ht="20.100000000000001" customHeight="1">
      <c r="A85" s="8">
        <v>2</v>
      </c>
      <c r="B85" s="9" t="s">
        <v>205</v>
      </c>
      <c r="C85" s="2" t="s">
        <v>142</v>
      </c>
      <c r="D85" s="8" t="s">
        <v>39</v>
      </c>
      <c r="E85" s="318">
        <v>126000</v>
      </c>
      <c r="F85" s="11"/>
    </row>
    <row r="86" spans="1:6" ht="20.100000000000001" customHeight="1">
      <c r="A86" s="8">
        <v>3</v>
      </c>
      <c r="B86" s="12" t="s">
        <v>164</v>
      </c>
      <c r="C86" s="2" t="s">
        <v>142</v>
      </c>
      <c r="D86" s="8" t="s">
        <v>42</v>
      </c>
      <c r="E86" s="318">
        <v>126000</v>
      </c>
      <c r="F86" s="11"/>
    </row>
    <row r="87" spans="1:6" ht="20.100000000000001" customHeight="1">
      <c r="A87" s="8">
        <v>4</v>
      </c>
      <c r="B87" s="9" t="s">
        <v>210</v>
      </c>
      <c r="C87" s="2" t="s">
        <v>142</v>
      </c>
      <c r="D87" s="8" t="s">
        <v>42</v>
      </c>
      <c r="E87" s="318">
        <v>126000</v>
      </c>
      <c r="F87" s="11"/>
    </row>
    <row r="88" spans="1:6" ht="21.6" customHeight="1">
      <c r="A88" s="8">
        <v>5</v>
      </c>
      <c r="B88" s="9" t="s">
        <v>211</v>
      </c>
      <c r="C88" s="2" t="s">
        <v>910</v>
      </c>
      <c r="D88" s="13" t="s">
        <v>575</v>
      </c>
      <c r="E88" s="318">
        <v>90000</v>
      </c>
      <c r="F88" s="11"/>
    </row>
    <row r="89" spans="1:6" ht="21.6" customHeight="1">
      <c r="A89" s="8">
        <v>6</v>
      </c>
      <c r="B89" s="9" t="s">
        <v>212</v>
      </c>
      <c r="C89" s="10" t="s">
        <v>217</v>
      </c>
      <c r="D89" s="13" t="s">
        <v>218</v>
      </c>
      <c r="E89" s="318">
        <v>90000</v>
      </c>
      <c r="F89" s="11"/>
    </row>
    <row r="90" spans="1:6" ht="21.6" customHeight="1">
      <c r="A90" s="8">
        <v>7</v>
      </c>
      <c r="B90" s="9" t="s">
        <v>213</v>
      </c>
      <c r="C90" s="10" t="s">
        <v>52</v>
      </c>
      <c r="D90" s="13" t="s">
        <v>574</v>
      </c>
      <c r="E90" s="318">
        <v>90000</v>
      </c>
      <c r="F90" s="11"/>
    </row>
    <row r="91" spans="1:6" ht="21.6" customHeight="1">
      <c r="A91" s="8">
        <v>8</v>
      </c>
      <c r="B91" s="9" t="s">
        <v>215</v>
      </c>
      <c r="C91" s="15" t="s">
        <v>72</v>
      </c>
      <c r="D91" s="13" t="s">
        <v>179</v>
      </c>
      <c r="E91" s="318">
        <v>54000</v>
      </c>
      <c r="F91" s="11"/>
    </row>
    <row r="92" spans="1:6" ht="21.6" customHeight="1">
      <c r="A92" s="8">
        <v>9</v>
      </c>
      <c r="B92" s="9" t="s">
        <v>216</v>
      </c>
      <c r="C92" s="15" t="s">
        <v>72</v>
      </c>
      <c r="D92" s="13" t="s">
        <v>179</v>
      </c>
      <c r="E92" s="318">
        <v>54000</v>
      </c>
      <c r="F92" s="11"/>
    </row>
    <row r="93" spans="1:6" ht="21.6" customHeight="1">
      <c r="A93" s="8">
        <v>10</v>
      </c>
      <c r="B93" s="9" t="s">
        <v>220</v>
      </c>
      <c r="C93" s="2" t="s">
        <v>221</v>
      </c>
      <c r="D93" s="8" t="s">
        <v>81</v>
      </c>
      <c r="E93" s="318">
        <v>54000</v>
      </c>
      <c r="F93" s="11"/>
    </row>
    <row r="94" spans="1:6" ht="21.6" customHeight="1">
      <c r="A94" s="8">
        <v>11</v>
      </c>
      <c r="B94" s="9" t="s">
        <v>224</v>
      </c>
      <c r="C94" s="15" t="s">
        <v>554</v>
      </c>
      <c r="D94" s="13" t="s">
        <v>111</v>
      </c>
      <c r="E94" s="318">
        <v>54000</v>
      </c>
      <c r="F94" s="11"/>
    </row>
    <row r="95" spans="1:6" ht="20.100000000000001" customHeight="1">
      <c r="A95" s="8"/>
      <c r="B95" s="18" t="s">
        <v>120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226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227</v>
      </c>
      <c r="C98" s="2" t="s">
        <v>626</v>
      </c>
      <c r="D98" s="14" t="s">
        <v>209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53</v>
      </c>
      <c r="E99" s="318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627</v>
      </c>
      <c r="D100" s="13" t="s">
        <v>131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199</v>
      </c>
      <c r="D101" s="13" t="s">
        <v>81</v>
      </c>
      <c r="E101" s="318">
        <v>54000</v>
      </c>
      <c r="F101" s="11"/>
    </row>
    <row r="102" spans="1:6" ht="20.100000000000001" customHeight="1">
      <c r="A102" s="2"/>
      <c r="B102" s="18" t="s">
        <v>120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239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209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517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105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111</v>
      </c>
      <c r="E111" s="325">
        <v>54000</v>
      </c>
      <c r="F111" s="11"/>
    </row>
    <row r="112" spans="1:6" ht="25.5" customHeight="1">
      <c r="A112" s="2"/>
      <c r="B112" s="18" t="s">
        <v>120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257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259</v>
      </c>
      <c r="C115" s="2" t="s">
        <v>260</v>
      </c>
      <c r="D115" s="13" t="s">
        <v>131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192</v>
      </c>
      <c r="C116" s="10" t="s">
        <v>912</v>
      </c>
      <c r="D116" s="13" t="s">
        <v>70</v>
      </c>
      <c r="E116" s="318">
        <v>54000</v>
      </c>
      <c r="F116" s="11"/>
    </row>
    <row r="117" spans="1:6" ht="24.75" customHeight="1">
      <c r="A117" s="2"/>
      <c r="B117" s="18" t="s">
        <v>120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280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124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630</v>
      </c>
      <c r="D121" s="13" t="s">
        <v>578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631</v>
      </c>
      <c r="D122" s="13" t="s">
        <v>39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913</v>
      </c>
      <c r="C123" s="10" t="s">
        <v>631</v>
      </c>
      <c r="D123" s="13" t="s">
        <v>42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214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632</v>
      </c>
      <c r="D125" s="13" t="s">
        <v>53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290</v>
      </c>
      <c r="D126" s="13" t="s">
        <v>53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633</v>
      </c>
      <c r="D127" s="8" t="s">
        <v>99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277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298</v>
      </c>
      <c r="C129" s="10" t="s">
        <v>293</v>
      </c>
      <c r="D129" s="13" t="s">
        <v>277</v>
      </c>
      <c r="E129" s="318">
        <v>54000</v>
      </c>
      <c r="F129" s="11"/>
    </row>
    <row r="130" spans="1:6" ht="28.5" customHeight="1">
      <c r="A130" s="2"/>
      <c r="B130" s="18" t="s">
        <v>120</v>
      </c>
      <c r="C130" s="24" t="s">
        <v>634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301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914</v>
      </c>
      <c r="C133" s="10" t="s">
        <v>915</v>
      </c>
      <c r="D133" s="13" t="s">
        <v>124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916</v>
      </c>
      <c r="C134" s="10" t="s">
        <v>917</v>
      </c>
      <c r="D134" s="13" t="s">
        <v>36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305</v>
      </c>
      <c r="C135" s="2" t="s">
        <v>306</v>
      </c>
      <c r="D135" s="14" t="s">
        <v>209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307</v>
      </c>
      <c r="C136" s="10" t="s">
        <v>918</v>
      </c>
      <c r="D136" s="13" t="s">
        <v>47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309</v>
      </c>
      <c r="C137" s="2" t="s">
        <v>313</v>
      </c>
      <c r="D137" s="13" t="s">
        <v>47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311</v>
      </c>
      <c r="C138" s="2" t="s">
        <v>313</v>
      </c>
      <c r="D138" s="13" t="s">
        <v>47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231</v>
      </c>
      <c r="C139" s="10" t="s">
        <v>919</v>
      </c>
      <c r="D139" s="13" t="s">
        <v>70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314</v>
      </c>
      <c r="C140" s="10" t="s">
        <v>919</v>
      </c>
      <c r="D140" s="13" t="s">
        <v>70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315</v>
      </c>
      <c r="C141" s="2" t="s">
        <v>920</v>
      </c>
      <c r="D141" s="13" t="s">
        <v>70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317</v>
      </c>
      <c r="C142" s="10" t="s">
        <v>636</v>
      </c>
      <c r="D142" s="13" t="s">
        <v>131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319</v>
      </c>
      <c r="C143" s="10" t="s">
        <v>320</v>
      </c>
      <c r="D143" s="13" t="s">
        <v>179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62</v>
      </c>
      <c r="C144" s="10" t="s">
        <v>921</v>
      </c>
      <c r="D144" s="13" t="s">
        <v>70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321</v>
      </c>
      <c r="C145" s="2" t="s">
        <v>322</v>
      </c>
      <c r="D145" s="13" t="s">
        <v>179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323</v>
      </c>
      <c r="C146" s="2" t="s">
        <v>922</v>
      </c>
      <c r="D146" s="13" t="s">
        <v>75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324</v>
      </c>
      <c r="C147" s="2" t="s">
        <v>922</v>
      </c>
      <c r="D147" s="13" t="s">
        <v>78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326</v>
      </c>
      <c r="C148" s="2" t="s">
        <v>922</v>
      </c>
      <c r="D148" s="13" t="s">
        <v>78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327</v>
      </c>
      <c r="C149" s="10" t="s">
        <v>328</v>
      </c>
      <c r="D149" s="13" t="s">
        <v>81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1517</v>
      </c>
      <c r="C150" s="10" t="s">
        <v>330</v>
      </c>
      <c r="D150" s="8" t="s">
        <v>225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331</v>
      </c>
      <c r="C151" s="10" t="s">
        <v>637</v>
      </c>
      <c r="D151" s="13" t="s">
        <v>75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333</v>
      </c>
      <c r="C152" s="10" t="s">
        <v>638</v>
      </c>
      <c r="D152" s="13" t="s">
        <v>99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335</v>
      </c>
      <c r="C153" s="10" t="s">
        <v>639</v>
      </c>
      <c r="D153" s="13" t="s">
        <v>75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336</v>
      </c>
      <c r="C154" s="10" t="s">
        <v>640</v>
      </c>
      <c r="D154" s="13" t="s">
        <v>99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338</v>
      </c>
      <c r="C155" s="10" t="s">
        <v>339</v>
      </c>
      <c r="D155" s="13" t="s">
        <v>225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345</v>
      </c>
      <c r="C156" s="10" t="s">
        <v>346</v>
      </c>
      <c r="D156" s="13" t="s">
        <v>277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347</v>
      </c>
      <c r="C157" s="10" t="s">
        <v>348</v>
      </c>
      <c r="D157" s="13" t="s">
        <v>277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349</v>
      </c>
      <c r="C158" s="10" t="s">
        <v>350</v>
      </c>
      <c r="D158" s="13" t="s">
        <v>277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351</v>
      </c>
      <c r="C159" s="10" t="s">
        <v>641</v>
      </c>
      <c r="D159" s="13" t="s">
        <v>111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352</v>
      </c>
      <c r="C160" s="10" t="s">
        <v>348</v>
      </c>
      <c r="D160" s="13" t="s">
        <v>277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361</v>
      </c>
      <c r="C161" s="10" t="s">
        <v>556</v>
      </c>
      <c r="D161" s="13" t="s">
        <v>379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364</v>
      </c>
      <c r="C162" s="10" t="s">
        <v>556</v>
      </c>
      <c r="D162" s="13" t="s">
        <v>379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642</v>
      </c>
      <c r="C163" s="10" t="s">
        <v>556</v>
      </c>
      <c r="D163" s="13" t="s">
        <v>379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365</v>
      </c>
      <c r="C164" s="10" t="s">
        <v>556</v>
      </c>
      <c r="D164" s="13" t="s">
        <v>379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366</v>
      </c>
      <c r="C165" s="10" t="s">
        <v>556</v>
      </c>
      <c r="D165" s="13" t="s">
        <v>379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367</v>
      </c>
      <c r="C166" s="10" t="s">
        <v>556</v>
      </c>
      <c r="D166" s="13" t="s">
        <v>582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369</v>
      </c>
      <c r="C167" s="10" t="s">
        <v>556</v>
      </c>
      <c r="D167" s="13" t="s">
        <v>582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370</v>
      </c>
      <c r="C168" s="10" t="s">
        <v>556</v>
      </c>
      <c r="D168" s="13" t="s">
        <v>582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371</v>
      </c>
      <c r="C169" s="10" t="s">
        <v>556</v>
      </c>
      <c r="D169" s="13" t="s">
        <v>582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372</v>
      </c>
      <c r="C170" s="10" t="s">
        <v>556</v>
      </c>
      <c r="D170" s="13" t="s">
        <v>582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359</v>
      </c>
      <c r="C171" s="10" t="s">
        <v>556</v>
      </c>
      <c r="D171" s="13" t="s">
        <v>582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373</v>
      </c>
      <c r="C172" s="10" t="s">
        <v>362</v>
      </c>
      <c r="D172" s="13" t="s">
        <v>583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375</v>
      </c>
      <c r="C173" s="10" t="s">
        <v>362</v>
      </c>
      <c r="D173" s="13" t="s">
        <v>583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376</v>
      </c>
      <c r="C174" s="10" t="s">
        <v>362</v>
      </c>
      <c r="D174" s="13" t="s">
        <v>583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378</v>
      </c>
      <c r="C175" s="10" t="s">
        <v>389</v>
      </c>
      <c r="D175" s="13" t="s">
        <v>405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380</v>
      </c>
      <c r="C176" s="10" t="s">
        <v>558</v>
      </c>
      <c r="D176" s="13" t="s">
        <v>1518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381</v>
      </c>
      <c r="C177" s="10" t="s">
        <v>558</v>
      </c>
      <c r="D177" s="13" t="s">
        <v>1518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382</v>
      </c>
      <c r="C178" s="10" t="s">
        <v>558</v>
      </c>
      <c r="D178" s="13" t="s">
        <v>1518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383</v>
      </c>
      <c r="C179" s="10" t="s">
        <v>558</v>
      </c>
      <c r="D179" s="13" t="s">
        <v>1518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384</v>
      </c>
      <c r="C180" s="10" t="s">
        <v>558</v>
      </c>
      <c r="D180" s="13" t="s">
        <v>1518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385</v>
      </c>
      <c r="C181" s="10" t="s">
        <v>558</v>
      </c>
      <c r="D181" s="13" t="s">
        <v>1518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387</v>
      </c>
      <c r="C182" s="10" t="s">
        <v>558</v>
      </c>
      <c r="D182" s="13" t="s">
        <v>1518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644</v>
      </c>
      <c r="C183" s="10" t="s">
        <v>389</v>
      </c>
      <c r="D183" s="13" t="s">
        <v>1518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388</v>
      </c>
      <c r="C184" s="10" t="s">
        <v>389</v>
      </c>
      <c r="D184" s="13" t="s">
        <v>1518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360</v>
      </c>
      <c r="C185" s="10" t="s">
        <v>392</v>
      </c>
      <c r="D185" s="13" t="s">
        <v>395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394</v>
      </c>
      <c r="C186" s="10" t="s">
        <v>558</v>
      </c>
      <c r="D186" s="13" t="s">
        <v>585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398</v>
      </c>
      <c r="C187" s="10" t="s">
        <v>399</v>
      </c>
      <c r="D187" s="13" t="s">
        <v>1519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401</v>
      </c>
      <c r="C188" s="10" t="s">
        <v>399</v>
      </c>
      <c r="D188" s="13" t="s">
        <v>1519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402</v>
      </c>
      <c r="C189" s="10" t="s">
        <v>399</v>
      </c>
      <c r="D189" s="13" t="s">
        <v>1519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403</v>
      </c>
      <c r="C190" s="10" t="s">
        <v>404</v>
      </c>
      <c r="D190" s="13" t="s">
        <v>397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406</v>
      </c>
      <c r="C191" s="10" t="s">
        <v>404</v>
      </c>
      <c r="D191" s="13" t="s">
        <v>397</v>
      </c>
      <c r="E191" s="328">
        <v>36000</v>
      </c>
      <c r="F191" s="11"/>
    </row>
    <row r="192" spans="1:6" ht="24.75" customHeight="1">
      <c r="A192" s="25"/>
      <c r="B192" s="6" t="s">
        <v>120</v>
      </c>
      <c r="C192" s="26" t="s">
        <v>924</v>
      </c>
      <c r="D192" s="27"/>
      <c r="E192" s="322">
        <f>SUM(E133:E191)</f>
        <v>3204000</v>
      </c>
      <c r="F192" s="11"/>
    </row>
    <row r="193" spans="1:6" ht="20.100000000000001" customHeight="1">
      <c r="A193" s="1180"/>
      <c r="B193" s="1180"/>
      <c r="C193" s="1180"/>
      <c r="D193" s="1180"/>
      <c r="E193" s="1180"/>
      <c r="F193" s="11"/>
    </row>
    <row r="194" spans="1:6" ht="29.25" customHeight="1">
      <c r="A194" s="2"/>
      <c r="B194" s="28" t="s">
        <v>408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1169" t="s">
        <v>1520</v>
      </c>
      <c r="B2" s="1169"/>
      <c r="C2" s="1169"/>
      <c r="D2" s="1169"/>
      <c r="E2" s="1169"/>
      <c r="F2" s="1169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867</v>
      </c>
      <c r="F4" s="284" t="s">
        <v>1054</v>
      </c>
    </row>
    <row r="5" spans="1:7" ht="17.25" customHeight="1">
      <c r="C5" s="6"/>
      <c r="D5" s="6"/>
      <c r="E5" s="270" t="s">
        <v>21</v>
      </c>
      <c r="F5" s="196" t="s">
        <v>21</v>
      </c>
    </row>
    <row r="6" spans="1:7" ht="20.100000000000001" customHeight="1">
      <c r="A6" s="7" t="s">
        <v>22</v>
      </c>
      <c r="B6" s="6" t="s">
        <v>23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27</v>
      </c>
      <c r="C8" s="10" t="s">
        <v>28</v>
      </c>
      <c r="D8" s="8" t="s">
        <v>29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30</v>
      </c>
      <c r="C9" s="2" t="s">
        <v>31</v>
      </c>
      <c r="D9" s="13" t="s">
        <v>209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32</v>
      </c>
      <c r="C10" s="15" t="s">
        <v>33</v>
      </c>
      <c r="D10" s="14" t="s">
        <v>209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302</v>
      </c>
      <c r="C11" s="2" t="s">
        <v>890</v>
      </c>
      <c r="D11" s="14" t="s">
        <v>209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891</v>
      </c>
      <c r="C12" s="8" t="s">
        <v>892</v>
      </c>
      <c r="D12" s="13" t="s">
        <v>209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34</v>
      </c>
      <c r="C13" s="10" t="s">
        <v>893</v>
      </c>
      <c r="D13" s="13" t="s">
        <v>39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37</v>
      </c>
      <c r="C14" s="2" t="s">
        <v>38</v>
      </c>
      <c r="D14" s="8" t="s">
        <v>42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40</v>
      </c>
      <c r="C15" s="2" t="s">
        <v>619</v>
      </c>
      <c r="D15" s="13" t="s">
        <v>47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43</v>
      </c>
      <c r="C16" s="15" t="s">
        <v>52</v>
      </c>
      <c r="D16" s="13" t="s">
        <v>214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48</v>
      </c>
      <c r="C17" s="2" t="s">
        <v>894</v>
      </c>
      <c r="D17" s="8" t="s">
        <v>56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51</v>
      </c>
      <c r="C18" s="10" t="s">
        <v>61</v>
      </c>
      <c r="D18" s="13" t="s">
        <v>218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54</v>
      </c>
      <c r="C19" s="2" t="s">
        <v>55</v>
      </c>
      <c r="D19" s="13" t="s">
        <v>576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65</v>
      </c>
      <c r="C20" s="10" t="s">
        <v>177</v>
      </c>
      <c r="D20" s="13" t="s">
        <v>131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68</v>
      </c>
      <c r="C21" s="15" t="s">
        <v>69</v>
      </c>
      <c r="D21" s="8" t="s">
        <v>179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73</v>
      </c>
      <c r="C22" s="15" t="s">
        <v>74</v>
      </c>
      <c r="D22" s="8" t="s">
        <v>81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483</v>
      </c>
      <c r="C23" s="2" t="s">
        <v>94</v>
      </c>
      <c r="D23" s="8" t="s">
        <v>99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79</v>
      </c>
      <c r="C24" s="10" t="s">
        <v>94</v>
      </c>
      <c r="D24" s="13" t="s">
        <v>99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84</v>
      </c>
      <c r="C25" s="10" t="s">
        <v>85</v>
      </c>
      <c r="D25" s="13" t="s">
        <v>225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87</v>
      </c>
      <c r="C26" s="2" t="s">
        <v>88</v>
      </c>
      <c r="D26" s="8" t="s">
        <v>225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91</v>
      </c>
      <c r="C27" s="15" t="s">
        <v>622</v>
      </c>
      <c r="D27" s="13" t="s">
        <v>99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95</v>
      </c>
      <c r="C28" s="2" t="s">
        <v>623</v>
      </c>
      <c r="D28" s="8" t="s">
        <v>111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1509</v>
      </c>
      <c r="C29" s="10" t="s">
        <v>104</v>
      </c>
      <c r="D29" s="13" t="s">
        <v>111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103</v>
      </c>
      <c r="C30" s="10" t="s">
        <v>104</v>
      </c>
      <c r="D30" s="13" t="s">
        <v>277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120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121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122</v>
      </c>
      <c r="C34" s="2" t="s">
        <v>123</v>
      </c>
      <c r="D34" s="8" t="s">
        <v>124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127</v>
      </c>
      <c r="C35" s="2" t="s">
        <v>1122</v>
      </c>
      <c r="D35" s="8" t="s">
        <v>277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129</v>
      </c>
      <c r="C36" s="10" t="s">
        <v>1119</v>
      </c>
      <c r="D36" s="13" t="s">
        <v>81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137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895</v>
      </c>
      <c r="C40" s="2" t="s">
        <v>896</v>
      </c>
      <c r="D40" s="8" t="s">
        <v>124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897</v>
      </c>
      <c r="C41" s="2" t="s">
        <v>44</v>
      </c>
      <c r="D41" s="8" t="s">
        <v>39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138</v>
      </c>
      <c r="C42" s="2" t="s">
        <v>624</v>
      </c>
      <c r="D42" s="8" t="s">
        <v>578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141</v>
      </c>
      <c r="C43" s="2" t="s">
        <v>142</v>
      </c>
      <c r="D43" s="8" t="s">
        <v>39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143</v>
      </c>
      <c r="C44" s="2" t="s">
        <v>142</v>
      </c>
      <c r="D44" s="8" t="s">
        <v>50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144</v>
      </c>
      <c r="C45" s="2" t="s">
        <v>142</v>
      </c>
      <c r="D45" s="8" t="s">
        <v>42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145</v>
      </c>
      <c r="C46" s="2" t="s">
        <v>52</v>
      </c>
      <c r="D46" s="14" t="s">
        <v>47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45</v>
      </c>
      <c r="C47" s="2" t="s">
        <v>46</v>
      </c>
      <c r="D47" s="8" t="s">
        <v>53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81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225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898</v>
      </c>
      <c r="C50" s="2" t="s">
        <v>150</v>
      </c>
      <c r="D50" s="8" t="s">
        <v>225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155</v>
      </c>
      <c r="C51" s="2" t="s">
        <v>150</v>
      </c>
      <c r="D51" s="8" t="s">
        <v>225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120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157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899</v>
      </c>
      <c r="C55" s="10" t="s">
        <v>159</v>
      </c>
      <c r="D55" s="13" t="s">
        <v>124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160</v>
      </c>
      <c r="C56" s="10" t="s">
        <v>161</v>
      </c>
      <c r="D56" s="13" t="s">
        <v>908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120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163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900</v>
      </c>
      <c r="C60" s="15" t="s">
        <v>901</v>
      </c>
      <c r="D60" s="8" t="s">
        <v>124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902</v>
      </c>
      <c r="C61" s="15" t="s">
        <v>903</v>
      </c>
      <c r="D61" s="13" t="s">
        <v>1516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166</v>
      </c>
      <c r="C62" s="2" t="s">
        <v>52</v>
      </c>
      <c r="D62" s="8" t="s">
        <v>53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904</v>
      </c>
      <c r="C63" s="15" t="s">
        <v>217</v>
      </c>
      <c r="D63" s="13" t="s">
        <v>218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905</v>
      </c>
      <c r="C64" s="15" t="s">
        <v>52</v>
      </c>
      <c r="D64" s="13" t="s">
        <v>47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179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171</v>
      </c>
      <c r="C66" s="15" t="s">
        <v>72</v>
      </c>
      <c r="D66" s="13" t="s">
        <v>179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173</v>
      </c>
      <c r="C67" s="15" t="s">
        <v>72</v>
      </c>
      <c r="D67" s="13" t="s">
        <v>179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174</v>
      </c>
      <c r="C68" s="2" t="s">
        <v>625</v>
      </c>
      <c r="D68" s="8" t="s">
        <v>131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81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82</v>
      </c>
      <c r="C70" s="15" t="s">
        <v>69</v>
      </c>
      <c r="D70" s="8" t="s">
        <v>99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120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182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183</v>
      </c>
      <c r="C74" s="2" t="s">
        <v>184</v>
      </c>
      <c r="D74" s="8" t="s">
        <v>124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906</v>
      </c>
      <c r="C75" s="2" t="s">
        <v>907</v>
      </c>
      <c r="D75" s="13" t="s">
        <v>1516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185</v>
      </c>
      <c r="C76" s="10" t="s">
        <v>909</v>
      </c>
      <c r="D76" s="8" t="s">
        <v>908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189</v>
      </c>
      <c r="C77" s="2" t="s">
        <v>190</v>
      </c>
      <c r="D77" s="13" t="s">
        <v>53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196</v>
      </c>
      <c r="C78" s="2" t="s">
        <v>181</v>
      </c>
      <c r="D78" s="8" t="s">
        <v>75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200</v>
      </c>
      <c r="C79" s="2" t="s">
        <v>181</v>
      </c>
      <c r="D79" s="8" t="s">
        <v>225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202</v>
      </c>
      <c r="C80" s="2" t="s">
        <v>203</v>
      </c>
      <c r="D80" s="8" t="s">
        <v>277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120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204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207</v>
      </c>
      <c r="C84" s="2" t="s">
        <v>142</v>
      </c>
      <c r="D84" s="8" t="s">
        <v>39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205</v>
      </c>
      <c r="C85" s="2" t="s">
        <v>142</v>
      </c>
      <c r="D85" s="8" t="s">
        <v>39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164</v>
      </c>
      <c r="C86" s="2" t="s">
        <v>142</v>
      </c>
      <c r="D86" s="8" t="s">
        <v>42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210</v>
      </c>
      <c r="C87" s="2" t="s">
        <v>142</v>
      </c>
      <c r="D87" s="8" t="s">
        <v>42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211</v>
      </c>
      <c r="C88" s="2" t="s">
        <v>910</v>
      </c>
      <c r="D88" s="13" t="s">
        <v>575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212</v>
      </c>
      <c r="C89" s="10" t="s">
        <v>217</v>
      </c>
      <c r="D89" s="13" t="s">
        <v>218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213</v>
      </c>
      <c r="C90" s="10" t="s">
        <v>52</v>
      </c>
      <c r="D90" s="13" t="s">
        <v>574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215</v>
      </c>
      <c r="C91" s="15" t="s">
        <v>72</v>
      </c>
      <c r="D91" s="13" t="s">
        <v>179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216</v>
      </c>
      <c r="C92" s="15" t="s">
        <v>72</v>
      </c>
      <c r="D92" s="13" t="s">
        <v>179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220</v>
      </c>
      <c r="C93" s="2" t="s">
        <v>221</v>
      </c>
      <c r="D93" s="8" t="s">
        <v>81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224</v>
      </c>
      <c r="C94" s="15" t="s">
        <v>554</v>
      </c>
      <c r="D94" s="13" t="s">
        <v>111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120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226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227</v>
      </c>
      <c r="C98" s="2" t="s">
        <v>626</v>
      </c>
      <c r="D98" s="14" t="s">
        <v>209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53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235</v>
      </c>
      <c r="C100" s="2" t="s">
        <v>627</v>
      </c>
      <c r="D100" s="13" t="s">
        <v>131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236</v>
      </c>
      <c r="C101" s="2" t="s">
        <v>199</v>
      </c>
      <c r="D101" s="13" t="s">
        <v>81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120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239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628</v>
      </c>
      <c r="C105" s="10" t="s">
        <v>241</v>
      </c>
      <c r="D105" s="13" t="s">
        <v>124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209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244</v>
      </c>
      <c r="C107" s="2" t="s">
        <v>629</v>
      </c>
      <c r="D107" s="8" t="s">
        <v>56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246</v>
      </c>
      <c r="C108" s="2" t="s">
        <v>629</v>
      </c>
      <c r="D108" s="8" t="s">
        <v>56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517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105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111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120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257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259</v>
      </c>
      <c r="C115" s="2" t="s">
        <v>260</v>
      </c>
      <c r="D115" s="13" t="s">
        <v>131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192</v>
      </c>
      <c r="C116" s="10" t="s">
        <v>912</v>
      </c>
      <c r="D116" s="13" t="s">
        <v>70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120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280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124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283</v>
      </c>
      <c r="C121" s="10" t="s">
        <v>630</v>
      </c>
      <c r="D121" s="13" t="s">
        <v>578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285</v>
      </c>
      <c r="C122" s="10" t="s">
        <v>631</v>
      </c>
      <c r="D122" s="13" t="s">
        <v>39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913</v>
      </c>
      <c r="C123" s="10" t="s">
        <v>631</v>
      </c>
      <c r="D123" s="13" t="s">
        <v>42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214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289</v>
      </c>
      <c r="C125" s="10" t="s">
        <v>632</v>
      </c>
      <c r="D125" s="13" t="s">
        <v>53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53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294</v>
      </c>
      <c r="C127" s="10" t="s">
        <v>633</v>
      </c>
      <c r="D127" s="8" t="s">
        <v>99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277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277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120</v>
      </c>
      <c r="C130" s="24" t="s">
        <v>634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301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914</v>
      </c>
      <c r="C133" s="10" t="s">
        <v>915</v>
      </c>
      <c r="D133" s="13" t="s">
        <v>124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916</v>
      </c>
      <c r="C134" s="10" t="s">
        <v>917</v>
      </c>
      <c r="D134" s="13" t="s">
        <v>36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209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307</v>
      </c>
      <c r="C136" s="10" t="s">
        <v>918</v>
      </c>
      <c r="D136" s="13" t="s">
        <v>47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47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47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231</v>
      </c>
      <c r="C139" s="10" t="s">
        <v>919</v>
      </c>
      <c r="D139" s="13" t="s">
        <v>70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314</v>
      </c>
      <c r="C140" s="10" t="s">
        <v>919</v>
      </c>
      <c r="D140" s="13" t="s">
        <v>70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315</v>
      </c>
      <c r="C141" s="2" t="s">
        <v>920</v>
      </c>
      <c r="D141" s="13" t="s">
        <v>70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317</v>
      </c>
      <c r="C142" s="10" t="s">
        <v>636</v>
      </c>
      <c r="D142" s="13" t="s">
        <v>131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179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62</v>
      </c>
      <c r="C144" s="10" t="s">
        <v>921</v>
      </c>
      <c r="D144" s="13" t="s">
        <v>70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179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323</v>
      </c>
      <c r="C146" s="2" t="s">
        <v>922</v>
      </c>
      <c r="D146" s="13" t="s">
        <v>75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324</v>
      </c>
      <c r="C147" s="2" t="s">
        <v>922</v>
      </c>
      <c r="D147" s="13" t="s">
        <v>78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326</v>
      </c>
      <c r="C148" s="2" t="s">
        <v>922</v>
      </c>
      <c r="D148" s="13" t="s">
        <v>78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81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1517</v>
      </c>
      <c r="C150" s="10" t="s">
        <v>330</v>
      </c>
      <c r="D150" s="8" t="s">
        <v>225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331</v>
      </c>
      <c r="C151" s="10" t="s">
        <v>637</v>
      </c>
      <c r="D151" s="13" t="s">
        <v>75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333</v>
      </c>
      <c r="C152" s="10" t="s">
        <v>638</v>
      </c>
      <c r="D152" s="13" t="s">
        <v>99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335</v>
      </c>
      <c r="C153" s="10" t="s">
        <v>639</v>
      </c>
      <c r="D153" s="13" t="s">
        <v>75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336</v>
      </c>
      <c r="C154" s="10" t="s">
        <v>640</v>
      </c>
      <c r="D154" s="13" t="s">
        <v>99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225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277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277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277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351</v>
      </c>
      <c r="C159" s="10" t="s">
        <v>641</v>
      </c>
      <c r="D159" s="13" t="s">
        <v>111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277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361</v>
      </c>
      <c r="C161" s="10" t="s">
        <v>556</v>
      </c>
      <c r="D161" s="13" t="s">
        <v>379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364</v>
      </c>
      <c r="C162" s="10" t="s">
        <v>556</v>
      </c>
      <c r="D162" s="13" t="s">
        <v>379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642</v>
      </c>
      <c r="C163" s="10" t="s">
        <v>556</v>
      </c>
      <c r="D163" s="13" t="s">
        <v>379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365</v>
      </c>
      <c r="C164" s="10" t="s">
        <v>556</v>
      </c>
      <c r="D164" s="13" t="s">
        <v>379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366</v>
      </c>
      <c r="C165" s="10" t="s">
        <v>556</v>
      </c>
      <c r="D165" s="13" t="s">
        <v>379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367</v>
      </c>
      <c r="C166" s="10" t="s">
        <v>556</v>
      </c>
      <c r="D166" s="13" t="s">
        <v>582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369</v>
      </c>
      <c r="C167" s="10" t="s">
        <v>556</v>
      </c>
      <c r="D167" s="13" t="s">
        <v>582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370</v>
      </c>
      <c r="C168" s="10" t="s">
        <v>556</v>
      </c>
      <c r="D168" s="13" t="s">
        <v>582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371</v>
      </c>
      <c r="C169" s="10" t="s">
        <v>556</v>
      </c>
      <c r="D169" s="13" t="s">
        <v>582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372</v>
      </c>
      <c r="C170" s="10" t="s">
        <v>556</v>
      </c>
      <c r="D170" s="13" t="s">
        <v>582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359</v>
      </c>
      <c r="C171" s="10" t="s">
        <v>556</v>
      </c>
      <c r="D171" s="13" t="s">
        <v>582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373</v>
      </c>
      <c r="C172" s="10" t="s">
        <v>362</v>
      </c>
      <c r="D172" s="13" t="s">
        <v>583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375</v>
      </c>
      <c r="C173" s="10" t="s">
        <v>362</v>
      </c>
      <c r="D173" s="13" t="s">
        <v>583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376</v>
      </c>
      <c r="C174" s="10" t="s">
        <v>362</v>
      </c>
      <c r="D174" s="13" t="s">
        <v>583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378</v>
      </c>
      <c r="C175" s="10" t="s">
        <v>389</v>
      </c>
      <c r="D175" s="13" t="s">
        <v>405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380</v>
      </c>
      <c r="C176" s="10" t="s">
        <v>558</v>
      </c>
      <c r="D176" s="13" t="s">
        <v>1518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381</v>
      </c>
      <c r="C177" s="10" t="s">
        <v>558</v>
      </c>
      <c r="D177" s="13" t="s">
        <v>1518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382</v>
      </c>
      <c r="C178" s="10" t="s">
        <v>558</v>
      </c>
      <c r="D178" s="13" t="s">
        <v>1518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383</v>
      </c>
      <c r="C179" s="10" t="s">
        <v>558</v>
      </c>
      <c r="D179" s="13" t="s">
        <v>1518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384</v>
      </c>
      <c r="C180" s="10" t="s">
        <v>558</v>
      </c>
      <c r="D180" s="13" t="s">
        <v>1518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385</v>
      </c>
      <c r="C181" s="10" t="s">
        <v>558</v>
      </c>
      <c r="D181" s="13" t="s">
        <v>1518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387</v>
      </c>
      <c r="C182" s="10" t="s">
        <v>558</v>
      </c>
      <c r="D182" s="13" t="s">
        <v>1518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644</v>
      </c>
      <c r="C183" s="10" t="s">
        <v>389</v>
      </c>
      <c r="D183" s="13" t="s">
        <v>1518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388</v>
      </c>
      <c r="C184" s="10" t="s">
        <v>389</v>
      </c>
      <c r="D184" s="13" t="s">
        <v>1518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360</v>
      </c>
      <c r="C185" s="10" t="s">
        <v>392</v>
      </c>
      <c r="D185" s="13" t="s">
        <v>395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394</v>
      </c>
      <c r="C186" s="10" t="s">
        <v>558</v>
      </c>
      <c r="D186" s="13" t="s">
        <v>585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398</v>
      </c>
      <c r="C187" s="10" t="s">
        <v>399</v>
      </c>
      <c r="D187" s="13" t="s">
        <v>1519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401</v>
      </c>
      <c r="C188" s="10" t="s">
        <v>399</v>
      </c>
      <c r="D188" s="13" t="s">
        <v>1519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402</v>
      </c>
      <c r="C189" s="10" t="s">
        <v>399</v>
      </c>
      <c r="D189" s="13" t="s">
        <v>1519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403</v>
      </c>
      <c r="C190" s="10" t="s">
        <v>404</v>
      </c>
      <c r="D190" s="13" t="s">
        <v>397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406</v>
      </c>
      <c r="C191" s="10" t="s">
        <v>404</v>
      </c>
      <c r="D191" s="13" t="s">
        <v>397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120</v>
      </c>
      <c r="C192" s="26" t="s">
        <v>924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408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1124" t="s">
        <v>0</v>
      </c>
      <c r="B1" s="1124"/>
      <c r="C1" s="1124"/>
      <c r="D1" s="1124"/>
      <c r="E1" s="1124"/>
      <c r="F1" s="112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1510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494</v>
      </c>
      <c r="H4" s="22" t="s">
        <v>1148</v>
      </c>
      <c r="I4" s="184" t="s">
        <v>1149</v>
      </c>
      <c r="J4" s="22" t="s">
        <v>1150</v>
      </c>
      <c r="K4" s="22" t="s">
        <v>1151</v>
      </c>
      <c r="L4" s="22" t="s">
        <v>1152</v>
      </c>
      <c r="M4" s="184" t="s">
        <v>7</v>
      </c>
      <c r="N4" s="184" t="s">
        <v>7</v>
      </c>
      <c r="O4" s="22" t="s">
        <v>1153</v>
      </c>
      <c r="P4" s="22" t="s">
        <v>1153</v>
      </c>
      <c r="Q4" s="184" t="s">
        <v>8</v>
      </c>
      <c r="R4" s="297" t="s">
        <v>9</v>
      </c>
      <c r="S4" s="22" t="s">
        <v>16</v>
      </c>
      <c r="T4" s="310" t="s">
        <v>18</v>
      </c>
      <c r="U4" s="65" t="s">
        <v>1521</v>
      </c>
      <c r="V4" s="284" t="s">
        <v>1522</v>
      </c>
      <c r="W4" s="65" t="s">
        <v>471</v>
      </c>
      <c r="X4" s="284" t="s">
        <v>816</v>
      </c>
    </row>
    <row r="5" spans="1:25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270" t="s">
        <v>21</v>
      </c>
      <c r="R5" s="6"/>
      <c r="S5" s="271" t="s">
        <v>21</v>
      </c>
      <c r="T5" s="67"/>
      <c r="U5" s="67"/>
      <c r="V5" s="196"/>
      <c r="W5" s="67"/>
      <c r="X5" s="196"/>
    </row>
    <row r="6" spans="1:25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48</v>
      </c>
      <c r="C7" s="2" t="s">
        <v>894</v>
      </c>
      <c r="D7" s="8" t="s">
        <v>56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120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1523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178</v>
      </c>
      <c r="C11" s="2" t="s">
        <v>150</v>
      </c>
      <c r="D11" s="8" t="s">
        <v>81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120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408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1124" t="s">
        <v>0</v>
      </c>
      <c r="B1" s="1124"/>
      <c r="C1" s="1124"/>
      <c r="D1" s="1124"/>
      <c r="E1" s="1124"/>
      <c r="F1" s="112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1510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494</v>
      </c>
      <c r="H4" s="22" t="s">
        <v>1148</v>
      </c>
      <c r="I4" s="184" t="s">
        <v>1149</v>
      </c>
      <c r="J4" s="22" t="s">
        <v>1150</v>
      </c>
      <c r="K4" s="22" t="s">
        <v>1151</v>
      </c>
      <c r="L4" s="22" t="s">
        <v>1152</v>
      </c>
      <c r="M4" s="184" t="s">
        <v>7</v>
      </c>
      <c r="N4" s="184" t="s">
        <v>7</v>
      </c>
      <c r="O4" s="22" t="s">
        <v>1153</v>
      </c>
      <c r="P4" s="22" t="s">
        <v>1153</v>
      </c>
      <c r="Q4" s="184" t="s">
        <v>8</v>
      </c>
      <c r="R4" s="297" t="s">
        <v>9</v>
      </c>
      <c r="S4" s="5" t="s">
        <v>562</v>
      </c>
      <c r="T4" s="269" t="s">
        <v>1031</v>
      </c>
      <c r="U4" s="65" t="s">
        <v>1032</v>
      </c>
      <c r="V4" s="65" t="s">
        <v>1033</v>
      </c>
      <c r="W4" s="65" t="s">
        <v>596</v>
      </c>
      <c r="X4" s="65" t="s">
        <v>1034</v>
      </c>
      <c r="Y4" s="65" t="s">
        <v>1035</v>
      </c>
      <c r="Z4" s="282" t="s">
        <v>1036</v>
      </c>
      <c r="AA4" s="283" t="s">
        <v>1037</v>
      </c>
      <c r="AB4" s="65" t="s">
        <v>471</v>
      </c>
      <c r="AC4" s="284" t="s">
        <v>816</v>
      </c>
      <c r="AD4" s="284" t="s">
        <v>1524</v>
      </c>
      <c r="AE4" s="284" t="s">
        <v>1525</v>
      </c>
    </row>
    <row r="5" spans="1:31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270" t="s">
        <v>21</v>
      </c>
      <c r="R5" s="6"/>
      <c r="S5" s="271" t="s">
        <v>21</v>
      </c>
      <c r="T5" s="67"/>
      <c r="U5" s="67"/>
      <c r="V5" s="196"/>
      <c r="W5" s="67"/>
      <c r="X5" s="196"/>
    </row>
    <row r="6" spans="1:31" ht="20.100000000000001" customHeight="1">
      <c r="A6" s="7" t="s">
        <v>22</v>
      </c>
      <c r="B6" s="6" t="s">
        <v>1526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373</v>
      </c>
      <c r="C8" s="292" t="s">
        <v>362</v>
      </c>
      <c r="D8" s="293" t="s">
        <v>583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583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375</v>
      </c>
      <c r="C9" s="292" t="s">
        <v>362</v>
      </c>
      <c r="D9" s="293" t="s">
        <v>583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583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376</v>
      </c>
      <c r="C10" s="292" t="s">
        <v>362</v>
      </c>
      <c r="D10" s="293" t="s">
        <v>583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583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373</v>
      </c>
      <c r="C13" s="292" t="s">
        <v>362</v>
      </c>
      <c r="D13" s="293" t="s">
        <v>583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[18]PROMOTIONS!$X$42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375</v>
      </c>
      <c r="C14" s="292" t="s">
        <v>362</v>
      </c>
      <c r="D14" s="293" t="s">
        <v>583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[18]PROMOTIONS!$X$42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376</v>
      </c>
      <c r="C15" s="292" t="s">
        <v>362</v>
      </c>
      <c r="D15" s="293" t="s">
        <v>583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[18]PROMOTIONS!$X$42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408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1124" t="s">
        <v>0</v>
      </c>
      <c r="B1" s="1124"/>
      <c r="C1" s="1124"/>
      <c r="D1" s="1124"/>
      <c r="E1" s="1124"/>
      <c r="F1" s="112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1527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1511</v>
      </c>
      <c r="E4" s="65" t="s">
        <v>5</v>
      </c>
      <c r="F4" s="19" t="s">
        <v>494</v>
      </c>
      <c r="G4" s="19" t="s">
        <v>1148</v>
      </c>
      <c r="H4" s="65" t="s">
        <v>1149</v>
      </c>
      <c r="I4" s="19" t="s">
        <v>1150</v>
      </c>
      <c r="J4" s="19" t="s">
        <v>1151</v>
      </c>
      <c r="K4" s="19" t="s">
        <v>1152</v>
      </c>
      <c r="L4" s="65" t="s">
        <v>7</v>
      </c>
      <c r="M4" s="65" t="s">
        <v>7</v>
      </c>
      <c r="N4" s="19" t="s">
        <v>1153</v>
      </c>
      <c r="O4" s="19" t="s">
        <v>1153</v>
      </c>
      <c r="P4" s="65" t="s">
        <v>8</v>
      </c>
      <c r="Q4" s="269" t="s">
        <v>1030</v>
      </c>
      <c r="R4" s="5" t="s">
        <v>562</v>
      </c>
      <c r="S4" s="269" t="s">
        <v>1031</v>
      </c>
      <c r="T4" s="65" t="s">
        <v>1032</v>
      </c>
      <c r="U4" s="65" t="s">
        <v>1033</v>
      </c>
      <c r="V4" s="65" t="s">
        <v>596</v>
      </c>
      <c r="W4" s="65" t="s">
        <v>1034</v>
      </c>
      <c r="X4" s="65" t="s">
        <v>1035</v>
      </c>
      <c r="Y4" s="282" t="s">
        <v>1036</v>
      </c>
      <c r="Z4" s="283" t="s">
        <v>1037</v>
      </c>
      <c r="AA4" s="65" t="s">
        <v>471</v>
      </c>
      <c r="AB4" s="284" t="s">
        <v>816</v>
      </c>
    </row>
    <row r="5" spans="1:29" ht="17.25" customHeight="1"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  <c r="I5" s="67" t="s">
        <v>21</v>
      </c>
      <c r="J5" s="67" t="s">
        <v>21</v>
      </c>
      <c r="K5" s="67" t="s">
        <v>21</v>
      </c>
      <c r="L5" s="67" t="s">
        <v>21</v>
      </c>
      <c r="M5" s="67" t="s">
        <v>21</v>
      </c>
      <c r="N5" s="67" t="s">
        <v>21</v>
      </c>
      <c r="O5" s="67" t="s">
        <v>21</v>
      </c>
      <c r="P5" s="67" t="s">
        <v>21</v>
      </c>
      <c r="Q5" s="270" t="s">
        <v>21</v>
      </c>
      <c r="R5" s="6"/>
      <c r="S5" s="270" t="s">
        <v>21</v>
      </c>
      <c r="T5" s="67"/>
      <c r="U5" s="67" t="s">
        <v>21</v>
      </c>
      <c r="V5" s="67"/>
      <c r="W5" s="271" t="s">
        <v>21</v>
      </c>
      <c r="X5" s="67"/>
      <c r="Y5" s="67"/>
      <c r="Z5" s="196"/>
      <c r="AA5" s="67"/>
      <c r="AB5" s="196"/>
    </row>
    <row r="6" spans="1:29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84</v>
      </c>
      <c r="C7" s="10" t="s">
        <v>1528</v>
      </c>
      <c r="D7" s="13" t="s">
        <v>105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225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'[17]October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120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137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45</v>
      </c>
      <c r="C11" s="2" t="s">
        <v>910</v>
      </c>
      <c r="D11" s="8" t="s">
        <v>575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53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'[17]October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120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163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164</v>
      </c>
      <c r="C15" s="2" t="s">
        <v>52</v>
      </c>
      <c r="D15" s="8" t="s">
        <v>191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42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'[17]October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166</v>
      </c>
      <c r="C16" s="2" t="s">
        <v>217</v>
      </c>
      <c r="D16" s="8" t="s">
        <v>575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53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'[17]October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120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182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189</v>
      </c>
      <c r="C20" s="2" t="s">
        <v>1529</v>
      </c>
      <c r="D20" s="13" t="s">
        <v>575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53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'[17]October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120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204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210</v>
      </c>
      <c r="C24" s="2" t="s">
        <v>46</v>
      </c>
      <c r="D24" s="8" t="s">
        <v>47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42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'[17]October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213</v>
      </c>
      <c r="C25" s="10" t="s">
        <v>217</v>
      </c>
      <c r="D25" s="13" t="s">
        <v>218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574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'[17]October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120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226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37</v>
      </c>
      <c r="C29" s="2" t="s">
        <v>230</v>
      </c>
      <c r="D29" s="8" t="s">
        <v>47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42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'[17]October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229</v>
      </c>
      <c r="C30" s="2" t="s">
        <v>920</v>
      </c>
      <c r="D30" s="13" t="s">
        <v>575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53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'[17]October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236</v>
      </c>
      <c r="C31" s="2" t="s">
        <v>1530</v>
      </c>
      <c r="D31" s="13" t="s">
        <v>105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81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'[17]October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120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280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291</v>
      </c>
      <c r="C35" s="10" t="s">
        <v>1531</v>
      </c>
      <c r="D35" s="13" t="s">
        <v>575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53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'[17]October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120</v>
      </c>
      <c r="C36" s="24" t="s">
        <v>1532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301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319</v>
      </c>
      <c r="C39" s="10" t="s">
        <v>1533</v>
      </c>
      <c r="D39" s="13" t="s">
        <v>151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179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'[17]October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321</v>
      </c>
      <c r="C40" s="2" t="s">
        <v>330</v>
      </c>
      <c r="D40" s="13" t="s">
        <v>151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179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'[17]October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338</v>
      </c>
      <c r="C41" s="10" t="s">
        <v>348</v>
      </c>
      <c r="D41" s="13" t="s">
        <v>105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225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'[17]October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373</v>
      </c>
      <c r="C42" s="10" t="s">
        <v>389</v>
      </c>
      <c r="D42" s="13" t="s">
        <v>584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583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'[17]October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375</v>
      </c>
      <c r="C43" s="265" t="s">
        <v>389</v>
      </c>
      <c r="D43" s="266" t="s">
        <v>584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583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'[17]October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376</v>
      </c>
      <c r="C44" s="10" t="s">
        <v>389</v>
      </c>
      <c r="D44" s="13" t="s">
        <v>390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583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'[17]October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360</v>
      </c>
      <c r="C45" s="10" t="s">
        <v>558</v>
      </c>
      <c r="D45" s="13" t="s">
        <v>1534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395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'[17]October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120</v>
      </c>
      <c r="C46" s="26" t="s">
        <v>1535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408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1536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1537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1538</v>
      </c>
      <c r="C3" s="236" t="s">
        <v>1539</v>
      </c>
      <c r="D3" s="236" t="s">
        <v>1540</v>
      </c>
      <c r="E3" s="236" t="s">
        <v>1541</v>
      </c>
      <c r="F3" s="236" t="s">
        <v>1542</v>
      </c>
      <c r="G3" s="236" t="s">
        <v>1543</v>
      </c>
      <c r="H3" s="254" t="s">
        <v>1544</v>
      </c>
      <c r="I3" s="236" t="s">
        <v>1545</v>
      </c>
      <c r="J3" s="236" t="s">
        <v>1546</v>
      </c>
      <c r="K3" s="236" t="s">
        <v>1547</v>
      </c>
      <c r="L3" s="236" t="s">
        <v>1548</v>
      </c>
      <c r="M3" s="236" t="s">
        <v>1549</v>
      </c>
      <c r="N3" s="236" t="s">
        <v>1550</v>
      </c>
      <c r="O3" s="236" t="s">
        <v>1551</v>
      </c>
      <c r="P3" s="236" t="s">
        <v>1552</v>
      </c>
      <c r="Q3" s="257"/>
      <c r="R3" s="257"/>
    </row>
    <row r="4" spans="1:18">
      <c r="A4" s="236" t="s">
        <v>1553</v>
      </c>
      <c r="B4" s="236" t="s">
        <v>21</v>
      </c>
      <c r="C4" s="236" t="s">
        <v>21</v>
      </c>
      <c r="D4" s="236" t="s">
        <v>21</v>
      </c>
      <c r="E4" s="236" t="s">
        <v>21</v>
      </c>
      <c r="F4" s="236" t="s">
        <v>21</v>
      </c>
      <c r="G4" s="236" t="s">
        <v>21</v>
      </c>
      <c r="H4" s="254" t="s">
        <v>21</v>
      </c>
      <c r="I4" s="236" t="s">
        <v>21</v>
      </c>
      <c r="J4" s="236" t="s">
        <v>21</v>
      </c>
      <c r="K4" s="236" t="s">
        <v>21</v>
      </c>
      <c r="L4" s="236" t="s">
        <v>21</v>
      </c>
      <c r="M4" s="236" t="s">
        <v>21</v>
      </c>
      <c r="N4" s="236" t="s">
        <v>21</v>
      </c>
      <c r="O4" s="236" t="s">
        <v>21</v>
      </c>
      <c r="P4" s="236" t="s">
        <v>21</v>
      </c>
      <c r="Q4" s="257"/>
      <c r="R4" s="257"/>
    </row>
    <row r="5" spans="1:18" ht="14.25">
      <c r="A5" s="255" t="s">
        <v>1554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1555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1556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1557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1558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1559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1560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1561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1562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1563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1564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1565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1566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1567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1568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1569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1181" t="s">
        <v>0</v>
      </c>
      <c r="B1" s="1181"/>
      <c r="C1" s="1181"/>
      <c r="D1" s="1181"/>
      <c r="E1" s="1181"/>
      <c r="F1" s="1181"/>
      <c r="G1" s="1181"/>
      <c r="H1" s="1181"/>
      <c r="I1" s="1181"/>
      <c r="J1" s="238"/>
      <c r="K1" s="238"/>
    </row>
    <row r="2" spans="1:11" ht="14.25">
      <c r="A2" s="1181" t="s">
        <v>887</v>
      </c>
      <c r="B2" s="1181"/>
      <c r="C2" s="1181"/>
      <c r="D2" s="1181"/>
      <c r="E2" s="1181"/>
      <c r="F2" s="1181"/>
      <c r="G2" s="1181"/>
      <c r="H2" s="1181"/>
      <c r="I2" s="1181"/>
      <c r="J2" s="239"/>
      <c r="K2" s="239"/>
    </row>
    <row r="3" spans="1:11" ht="23.25" customHeight="1">
      <c r="A3" s="1182" t="s">
        <v>1570</v>
      </c>
      <c r="B3" s="1182"/>
      <c r="C3" s="1182"/>
      <c r="D3" s="1182"/>
      <c r="E3" s="1182"/>
      <c r="F3" s="1182"/>
      <c r="G3" s="1182"/>
      <c r="H3" s="1182"/>
      <c r="I3" s="1182"/>
    </row>
    <row r="5" spans="1:11" ht="42.75" customHeight="1">
      <c r="A5" s="240" t="s">
        <v>22</v>
      </c>
      <c r="B5" s="240" t="s">
        <v>2</v>
      </c>
      <c r="C5" s="240" t="s">
        <v>3</v>
      </c>
      <c r="D5" s="241" t="s">
        <v>4</v>
      </c>
      <c r="E5" s="241" t="s">
        <v>1571</v>
      </c>
      <c r="F5" s="241" t="s">
        <v>1572</v>
      </c>
      <c r="G5" s="241" t="s">
        <v>1573</v>
      </c>
      <c r="H5" s="241" t="s">
        <v>1574</v>
      </c>
      <c r="I5" s="248" t="s">
        <v>1575</v>
      </c>
    </row>
    <row r="6" spans="1:11">
      <c r="B6" s="236" t="s">
        <v>23</v>
      </c>
    </row>
    <row r="7" spans="1:11">
      <c r="A7" s="242">
        <v>1</v>
      </c>
      <c r="B7" s="242" t="s">
        <v>24</v>
      </c>
      <c r="C7" s="242" t="s">
        <v>25</v>
      </c>
      <c r="D7" s="242" t="s">
        <v>928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1576</v>
      </c>
      <c r="C8" s="242" t="s">
        <v>1577</v>
      </c>
      <c r="D8" s="242" t="s">
        <v>36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27</v>
      </c>
      <c r="C9" s="242" t="s">
        <v>28</v>
      </c>
      <c r="D9" s="242" t="s">
        <v>29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30</v>
      </c>
      <c r="C10" s="242" t="s">
        <v>31</v>
      </c>
      <c r="D10" s="242" t="s">
        <v>209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227</v>
      </c>
      <c r="C11" s="242" t="s">
        <v>1578</v>
      </c>
      <c r="D11" s="242" t="s">
        <v>209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32</v>
      </c>
      <c r="C12" s="242" t="s">
        <v>33</v>
      </c>
      <c r="D12" s="242" t="s">
        <v>209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302</v>
      </c>
      <c r="C13" s="242" t="s">
        <v>890</v>
      </c>
      <c r="D13" s="242" t="s">
        <v>209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34</v>
      </c>
      <c r="C14" s="242" t="s">
        <v>893</v>
      </c>
      <c r="D14" s="242" t="s">
        <v>39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1579</v>
      </c>
      <c r="C15" s="242" t="s">
        <v>619</v>
      </c>
      <c r="D15" s="242" t="s">
        <v>47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40</v>
      </c>
      <c r="C16" s="242" t="s">
        <v>619</v>
      </c>
      <c r="D16" s="242" t="s">
        <v>47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51</v>
      </c>
      <c r="C17" s="242" t="s">
        <v>61</v>
      </c>
      <c r="D17" s="242" t="s">
        <v>218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54</v>
      </c>
      <c r="C18" s="242" t="s">
        <v>55</v>
      </c>
      <c r="D18" s="242" t="s">
        <v>576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65</v>
      </c>
      <c r="C19" s="242" t="s">
        <v>177</v>
      </c>
      <c r="D19" s="242" t="s">
        <v>131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79</v>
      </c>
      <c r="C20" s="242" t="s">
        <v>94</v>
      </c>
      <c r="D20" s="242" t="s">
        <v>99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1580</v>
      </c>
      <c r="C21" s="242" t="s">
        <v>1581</v>
      </c>
      <c r="D21" s="242" t="s">
        <v>99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84</v>
      </c>
      <c r="C22" s="242" t="s">
        <v>1528</v>
      </c>
      <c r="D22" s="242" t="s">
        <v>105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87</v>
      </c>
      <c r="C23" s="242" t="s">
        <v>1582</v>
      </c>
      <c r="D23" s="242" t="s">
        <v>105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91</v>
      </c>
      <c r="C24" s="242" t="s">
        <v>622</v>
      </c>
      <c r="D24" s="242" t="s">
        <v>99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95</v>
      </c>
      <c r="C25" s="242" t="s">
        <v>623</v>
      </c>
      <c r="D25" s="242" t="s">
        <v>111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1509</v>
      </c>
      <c r="C26" s="242" t="s">
        <v>104</v>
      </c>
      <c r="D26" s="242" t="s">
        <v>111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103</v>
      </c>
      <c r="C27" s="242" t="s">
        <v>104</v>
      </c>
      <c r="D27" s="242" t="s">
        <v>277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1583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121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122</v>
      </c>
      <c r="C31" s="242" t="s">
        <v>123</v>
      </c>
      <c r="D31" s="242" t="s">
        <v>124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127</v>
      </c>
      <c r="C32" s="242" t="s">
        <v>1122</v>
      </c>
      <c r="D32" s="242" t="s">
        <v>277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1584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137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895</v>
      </c>
      <c r="C36" s="242" t="s">
        <v>896</v>
      </c>
      <c r="D36" s="242" t="s">
        <v>124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897</v>
      </c>
      <c r="C37" s="242" t="s">
        <v>44</v>
      </c>
      <c r="D37" s="242" t="s">
        <v>39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138</v>
      </c>
      <c r="C38" s="242" t="s">
        <v>142</v>
      </c>
      <c r="D38" s="242" t="s">
        <v>39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141</v>
      </c>
      <c r="C39" s="242" t="s">
        <v>142</v>
      </c>
      <c r="D39" s="242" t="s">
        <v>39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143</v>
      </c>
      <c r="C40" s="242" t="s">
        <v>142</v>
      </c>
      <c r="D40" s="242" t="s">
        <v>50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144</v>
      </c>
      <c r="C41" s="242" t="s">
        <v>46</v>
      </c>
      <c r="D41" s="242" t="s">
        <v>47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145</v>
      </c>
      <c r="C42" s="242" t="s">
        <v>52</v>
      </c>
      <c r="D42" s="242" t="s">
        <v>47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1585</v>
      </c>
      <c r="C43" s="242" t="s">
        <v>52</v>
      </c>
      <c r="D43" s="242" t="s">
        <v>214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45</v>
      </c>
      <c r="C44" s="242" t="s">
        <v>910</v>
      </c>
      <c r="D44" s="242" t="s">
        <v>575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149</v>
      </c>
      <c r="C45" s="242" t="s">
        <v>150</v>
      </c>
      <c r="D45" s="242" t="s">
        <v>81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153</v>
      </c>
      <c r="C46" s="242" t="s">
        <v>150</v>
      </c>
      <c r="D46" s="242" t="s">
        <v>225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898</v>
      </c>
      <c r="C47" s="242" t="s">
        <v>150</v>
      </c>
      <c r="D47" s="242" t="s">
        <v>225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155</v>
      </c>
      <c r="C48" s="242" t="s">
        <v>150</v>
      </c>
      <c r="D48" s="242" t="s">
        <v>225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1586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157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899</v>
      </c>
      <c r="C52" s="242" t="s">
        <v>159</v>
      </c>
      <c r="D52" s="242" t="s">
        <v>124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160</v>
      </c>
      <c r="C53" s="242" t="s">
        <v>161</v>
      </c>
      <c r="D53" s="242" t="s">
        <v>908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1587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163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900</v>
      </c>
      <c r="C57" s="242" t="s">
        <v>901</v>
      </c>
      <c r="D57" s="242" t="s">
        <v>124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902</v>
      </c>
      <c r="C58" s="242" t="s">
        <v>903</v>
      </c>
      <c r="D58" s="242" t="s">
        <v>1516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166</v>
      </c>
      <c r="C59" s="242" t="s">
        <v>217</v>
      </c>
      <c r="D59" s="242" t="s">
        <v>575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904</v>
      </c>
      <c r="C60" s="242" t="s">
        <v>217</v>
      </c>
      <c r="D60" s="242" t="s">
        <v>218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905</v>
      </c>
      <c r="C61" s="242" t="s">
        <v>52</v>
      </c>
      <c r="D61" s="242" t="s">
        <v>47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43</v>
      </c>
      <c r="C62" s="242" t="s">
        <v>52</v>
      </c>
      <c r="D62" s="242" t="s">
        <v>214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170</v>
      </c>
      <c r="C63" s="242" t="s">
        <v>150</v>
      </c>
      <c r="D63" s="242" t="s">
        <v>179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171</v>
      </c>
      <c r="C64" s="242" t="s">
        <v>72</v>
      </c>
      <c r="D64" s="242" t="s">
        <v>179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173</v>
      </c>
      <c r="C65" s="242" t="s">
        <v>72</v>
      </c>
      <c r="D65" s="242" t="s">
        <v>179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174</v>
      </c>
      <c r="C66" s="242" t="s">
        <v>625</v>
      </c>
      <c r="D66" s="242" t="s">
        <v>131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82</v>
      </c>
      <c r="C67" s="242" t="s">
        <v>69</v>
      </c>
      <c r="D67" s="242" t="s">
        <v>99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68</v>
      </c>
      <c r="C68" s="242" t="s">
        <v>69</v>
      </c>
      <c r="D68" s="242" t="s">
        <v>111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1588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182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183</v>
      </c>
      <c r="C72" s="242" t="s">
        <v>184</v>
      </c>
      <c r="D72" s="242" t="s">
        <v>124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906</v>
      </c>
      <c r="C73" s="242" t="s">
        <v>907</v>
      </c>
      <c r="D73" s="242" t="s">
        <v>1516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185</v>
      </c>
      <c r="C74" s="242" t="s">
        <v>909</v>
      </c>
      <c r="D74" s="242" t="s">
        <v>908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189</v>
      </c>
      <c r="C75" s="242" t="s">
        <v>1529</v>
      </c>
      <c r="D75" s="242" t="s">
        <v>575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196</v>
      </c>
      <c r="C76" s="242" t="s">
        <v>181</v>
      </c>
      <c r="D76" s="242" t="s">
        <v>75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200</v>
      </c>
      <c r="C77" s="242" t="s">
        <v>181</v>
      </c>
      <c r="D77" s="242" t="s">
        <v>225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202</v>
      </c>
      <c r="C78" s="242" t="s">
        <v>203</v>
      </c>
      <c r="D78" s="242" t="s">
        <v>277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1589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204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207</v>
      </c>
      <c r="C82" s="242" t="s">
        <v>142</v>
      </c>
      <c r="D82" s="242" t="s">
        <v>39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205</v>
      </c>
      <c r="C83" s="242" t="s">
        <v>142</v>
      </c>
      <c r="D83" s="242" t="s">
        <v>39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164</v>
      </c>
      <c r="C84" s="242" t="s">
        <v>52</v>
      </c>
      <c r="D84" s="242" t="s">
        <v>191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210</v>
      </c>
      <c r="C85" s="242" t="s">
        <v>46</v>
      </c>
      <c r="D85" s="242" t="s">
        <v>47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211</v>
      </c>
      <c r="C86" s="242" t="s">
        <v>910</v>
      </c>
      <c r="D86" s="242" t="s">
        <v>575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212</v>
      </c>
      <c r="C87" s="242" t="s">
        <v>217</v>
      </c>
      <c r="D87" s="242" t="s">
        <v>218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213</v>
      </c>
      <c r="C88" s="242" t="s">
        <v>217</v>
      </c>
      <c r="D88" s="242" t="s">
        <v>218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215</v>
      </c>
      <c r="C89" s="242" t="s">
        <v>72</v>
      </c>
      <c r="D89" s="242" t="s">
        <v>179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216</v>
      </c>
      <c r="C90" s="242" t="s">
        <v>72</v>
      </c>
      <c r="D90" s="242" t="s">
        <v>179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220</v>
      </c>
      <c r="C91" s="242" t="s">
        <v>221</v>
      </c>
      <c r="D91" s="242" t="s">
        <v>81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224</v>
      </c>
      <c r="C92" s="242" t="s">
        <v>554</v>
      </c>
      <c r="D92" s="242" t="s">
        <v>111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1590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226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891</v>
      </c>
      <c r="C96" s="242" t="s">
        <v>892</v>
      </c>
      <c r="D96" s="242" t="s">
        <v>209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37</v>
      </c>
      <c r="C97" s="242" t="s">
        <v>230</v>
      </c>
      <c r="D97" s="242" t="s">
        <v>47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235</v>
      </c>
      <c r="C98" s="242" t="s">
        <v>627</v>
      </c>
      <c r="D98" s="242" t="s">
        <v>131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236</v>
      </c>
      <c r="C99" s="242" t="s">
        <v>1530</v>
      </c>
      <c r="D99" s="242" t="s">
        <v>105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1591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239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628</v>
      </c>
      <c r="C103" s="242" t="s">
        <v>241</v>
      </c>
      <c r="D103" s="242" t="s">
        <v>124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242</v>
      </c>
      <c r="C104" s="242" t="s">
        <v>243</v>
      </c>
      <c r="D104" s="242" t="s">
        <v>209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244</v>
      </c>
      <c r="C105" s="242" t="s">
        <v>629</v>
      </c>
      <c r="D105" s="242" t="s">
        <v>56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246</v>
      </c>
      <c r="C106" s="242" t="s">
        <v>629</v>
      </c>
      <c r="D106" s="242" t="s">
        <v>56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249</v>
      </c>
      <c r="C107" s="242" t="s">
        <v>250</v>
      </c>
      <c r="D107" s="242" t="s">
        <v>517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252</v>
      </c>
      <c r="C108" s="242" t="s">
        <v>250</v>
      </c>
      <c r="D108" s="242" t="s">
        <v>105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253</v>
      </c>
      <c r="C109" s="242" t="s">
        <v>250</v>
      </c>
      <c r="D109" s="242" t="s">
        <v>111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1592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257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1593</v>
      </c>
      <c r="C113" s="242" t="s">
        <v>72</v>
      </c>
      <c r="D113" s="242" t="s">
        <v>70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259</v>
      </c>
      <c r="C114" s="242" t="s">
        <v>260</v>
      </c>
      <c r="D114" s="242" t="s">
        <v>131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192</v>
      </c>
      <c r="C115" s="242" t="s">
        <v>912</v>
      </c>
      <c r="D115" s="242" t="s">
        <v>70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1594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280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281</v>
      </c>
      <c r="C119" s="242" t="s">
        <v>282</v>
      </c>
      <c r="D119" s="242" t="s">
        <v>124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283</v>
      </c>
      <c r="C120" s="242" t="s">
        <v>631</v>
      </c>
      <c r="D120" s="242" t="s">
        <v>39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285</v>
      </c>
      <c r="C121" s="242" t="s">
        <v>631</v>
      </c>
      <c r="D121" s="242" t="s">
        <v>39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288</v>
      </c>
      <c r="C122" s="242" t="s">
        <v>290</v>
      </c>
      <c r="D122" s="242" t="s">
        <v>214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289</v>
      </c>
      <c r="C123" s="242" t="s">
        <v>632</v>
      </c>
      <c r="D123" s="242" t="s">
        <v>575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291</v>
      </c>
      <c r="C124" s="242" t="s">
        <v>1531</v>
      </c>
      <c r="D124" s="242" t="s">
        <v>575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294</v>
      </c>
      <c r="C125" s="242" t="s">
        <v>633</v>
      </c>
      <c r="D125" s="242" t="s">
        <v>99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296</v>
      </c>
      <c r="C126" s="242" t="s">
        <v>297</v>
      </c>
      <c r="D126" s="242" t="s">
        <v>277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298</v>
      </c>
      <c r="C127" s="242" t="s">
        <v>293</v>
      </c>
      <c r="D127" s="242" t="s">
        <v>277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1595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301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914</v>
      </c>
      <c r="C131" s="242" t="s">
        <v>915</v>
      </c>
      <c r="D131" s="242" t="s">
        <v>124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305</v>
      </c>
      <c r="C132" s="242" t="s">
        <v>306</v>
      </c>
      <c r="D132" s="242" t="s">
        <v>209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307</v>
      </c>
      <c r="C133" s="242" t="s">
        <v>918</v>
      </c>
      <c r="D133" s="242" t="s">
        <v>47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309</v>
      </c>
      <c r="C134" s="242" t="s">
        <v>313</v>
      </c>
      <c r="D134" s="242" t="s">
        <v>47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311</v>
      </c>
      <c r="C135" s="242" t="s">
        <v>313</v>
      </c>
      <c r="D135" s="242" t="s">
        <v>47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229</v>
      </c>
      <c r="C136" s="242" t="s">
        <v>920</v>
      </c>
      <c r="D136" s="242" t="s">
        <v>575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231</v>
      </c>
      <c r="C137" s="242" t="s">
        <v>919</v>
      </c>
      <c r="D137" s="242" t="s">
        <v>70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314</v>
      </c>
      <c r="C138" s="242" t="s">
        <v>919</v>
      </c>
      <c r="D138" s="242" t="s">
        <v>70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315</v>
      </c>
      <c r="C139" s="242" t="s">
        <v>920</v>
      </c>
      <c r="D139" s="242" t="s">
        <v>70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317</v>
      </c>
      <c r="C140" s="242" t="s">
        <v>636</v>
      </c>
      <c r="D140" s="242" t="s">
        <v>131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319</v>
      </c>
      <c r="C141" s="242" t="s">
        <v>1533</v>
      </c>
      <c r="D141" s="242" t="s">
        <v>151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62</v>
      </c>
      <c r="C142" s="242" t="s">
        <v>921</v>
      </c>
      <c r="D142" s="242" t="s">
        <v>70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321</v>
      </c>
      <c r="C143" s="242" t="s">
        <v>330</v>
      </c>
      <c r="D143" s="242" t="s">
        <v>151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323</v>
      </c>
      <c r="C144" s="242" t="s">
        <v>922</v>
      </c>
      <c r="D144" s="242" t="s">
        <v>75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324</v>
      </c>
      <c r="C145" s="242" t="s">
        <v>922</v>
      </c>
      <c r="D145" s="242" t="s">
        <v>78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326</v>
      </c>
      <c r="C146" s="242" t="s">
        <v>922</v>
      </c>
      <c r="D146" s="242" t="s">
        <v>78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327</v>
      </c>
      <c r="C147" s="242" t="s">
        <v>328</v>
      </c>
      <c r="D147" s="242" t="s">
        <v>81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1517</v>
      </c>
      <c r="C148" s="242" t="s">
        <v>330</v>
      </c>
      <c r="D148" s="242" t="s">
        <v>225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331</v>
      </c>
      <c r="C149" s="242" t="s">
        <v>637</v>
      </c>
      <c r="D149" s="242" t="s">
        <v>75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333</v>
      </c>
      <c r="C150" s="242" t="s">
        <v>638</v>
      </c>
      <c r="D150" s="242" t="s">
        <v>99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335</v>
      </c>
      <c r="C151" s="242" t="s">
        <v>639</v>
      </c>
      <c r="D151" s="242" t="s">
        <v>75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336</v>
      </c>
      <c r="C152" s="242" t="s">
        <v>640</v>
      </c>
      <c r="D152" s="242" t="s">
        <v>99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338</v>
      </c>
      <c r="C153" s="242" t="s">
        <v>348</v>
      </c>
      <c r="D153" s="242" t="s">
        <v>105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345</v>
      </c>
      <c r="C154" s="242" t="s">
        <v>346</v>
      </c>
      <c r="D154" s="242" t="s">
        <v>277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347</v>
      </c>
      <c r="C155" s="242" t="s">
        <v>348</v>
      </c>
      <c r="D155" s="242" t="s">
        <v>277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349</v>
      </c>
      <c r="C156" s="242" t="s">
        <v>350</v>
      </c>
      <c r="D156" s="242" t="s">
        <v>277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351</v>
      </c>
      <c r="C157" s="242" t="s">
        <v>641</v>
      </c>
      <c r="D157" s="242" t="s">
        <v>111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352</v>
      </c>
      <c r="C158" s="242" t="s">
        <v>348</v>
      </c>
      <c r="D158" s="242" t="s">
        <v>277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361</v>
      </c>
      <c r="C159" s="242" t="s">
        <v>556</v>
      </c>
      <c r="D159" s="242" t="s">
        <v>379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364</v>
      </c>
      <c r="C160" s="242" t="s">
        <v>556</v>
      </c>
      <c r="D160" s="242" t="s">
        <v>379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642</v>
      </c>
      <c r="C161" s="242" t="s">
        <v>556</v>
      </c>
      <c r="D161" s="242" t="s">
        <v>379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365</v>
      </c>
      <c r="C162" s="242" t="s">
        <v>556</v>
      </c>
      <c r="D162" s="242" t="s">
        <v>379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366</v>
      </c>
      <c r="C163" s="242" t="s">
        <v>556</v>
      </c>
      <c r="D163" s="242" t="s">
        <v>379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367</v>
      </c>
      <c r="C164" s="242" t="s">
        <v>556</v>
      </c>
      <c r="D164" s="242" t="s">
        <v>582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369</v>
      </c>
      <c r="C165" s="242" t="s">
        <v>556</v>
      </c>
      <c r="D165" s="242" t="s">
        <v>582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370</v>
      </c>
      <c r="C166" s="242" t="s">
        <v>556</v>
      </c>
      <c r="D166" s="242" t="s">
        <v>582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371</v>
      </c>
      <c r="C167" s="242" t="s">
        <v>556</v>
      </c>
      <c r="D167" s="242" t="s">
        <v>582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372</v>
      </c>
      <c r="C168" s="242" t="s">
        <v>556</v>
      </c>
      <c r="D168" s="242" t="s">
        <v>582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359</v>
      </c>
      <c r="C169" s="242" t="s">
        <v>556</v>
      </c>
      <c r="D169" s="242" t="s">
        <v>582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373</v>
      </c>
      <c r="C170" s="242" t="s">
        <v>389</v>
      </c>
      <c r="D170" s="242" t="s">
        <v>584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375</v>
      </c>
      <c r="C171" s="242" t="s">
        <v>389</v>
      </c>
      <c r="D171" s="242" t="s">
        <v>584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376</v>
      </c>
      <c r="C172" s="242" t="s">
        <v>389</v>
      </c>
      <c r="D172" s="242" t="s">
        <v>390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378</v>
      </c>
      <c r="C173" s="242" t="s">
        <v>389</v>
      </c>
      <c r="D173" s="242" t="s">
        <v>405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380</v>
      </c>
      <c r="C174" s="242" t="s">
        <v>558</v>
      </c>
      <c r="D174" s="242" t="s">
        <v>1518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381</v>
      </c>
      <c r="C175" s="242" t="s">
        <v>558</v>
      </c>
      <c r="D175" s="242" t="s">
        <v>1518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382</v>
      </c>
      <c r="C176" s="242" t="s">
        <v>558</v>
      </c>
      <c r="D176" s="242" t="s">
        <v>1518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383</v>
      </c>
      <c r="C177" s="242" t="s">
        <v>558</v>
      </c>
      <c r="D177" s="242" t="s">
        <v>1518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384</v>
      </c>
      <c r="C178" s="242" t="s">
        <v>558</v>
      </c>
      <c r="D178" s="242" t="s">
        <v>1518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385</v>
      </c>
      <c r="C179" s="242" t="s">
        <v>558</v>
      </c>
      <c r="D179" s="242" t="s">
        <v>1518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387</v>
      </c>
      <c r="C180" s="242" t="s">
        <v>558</v>
      </c>
      <c r="D180" s="242" t="s">
        <v>1518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644</v>
      </c>
      <c r="C181" s="242" t="s">
        <v>389</v>
      </c>
      <c r="D181" s="242" t="s">
        <v>1518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388</v>
      </c>
      <c r="C182" s="242" t="s">
        <v>389</v>
      </c>
      <c r="D182" s="242" t="s">
        <v>1518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360</v>
      </c>
      <c r="C183" s="242" t="s">
        <v>558</v>
      </c>
      <c r="D183" s="242" t="s">
        <v>1534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394</v>
      </c>
      <c r="C184" s="242" t="s">
        <v>558</v>
      </c>
      <c r="D184" s="242" t="s">
        <v>585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398</v>
      </c>
      <c r="C185" s="242" t="s">
        <v>399</v>
      </c>
      <c r="D185" s="242" t="s">
        <v>1519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401</v>
      </c>
      <c r="C186" s="242" t="s">
        <v>399</v>
      </c>
      <c r="D186" s="242" t="s">
        <v>1519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402</v>
      </c>
      <c r="C187" s="242" t="s">
        <v>399</v>
      </c>
      <c r="D187" s="242" t="s">
        <v>1519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403</v>
      </c>
      <c r="C188" s="242" t="s">
        <v>404</v>
      </c>
      <c r="D188" s="242" t="s">
        <v>397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406</v>
      </c>
      <c r="C189" s="242" t="s">
        <v>404</v>
      </c>
      <c r="D189" s="242" t="s">
        <v>397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1596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1183" t="s">
        <v>1597</v>
      </c>
      <c r="C192" s="1183"/>
      <c r="D192" s="1183"/>
      <c r="E192" s="1183"/>
      <c r="F192" s="1183"/>
      <c r="G192" s="1183"/>
      <c r="H192" s="1183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1175" t="s">
        <v>0</v>
      </c>
      <c r="B1" s="1175"/>
      <c r="C1" s="1175"/>
      <c r="D1" s="1175"/>
      <c r="E1" s="1175"/>
      <c r="F1" s="1175"/>
      <c r="G1" s="1175"/>
      <c r="H1" s="1175"/>
      <c r="I1" s="238"/>
      <c r="J1" s="238"/>
    </row>
    <row r="2" spans="1:10" ht="18.75">
      <c r="A2" s="1184" t="s">
        <v>887</v>
      </c>
      <c r="B2" s="1184"/>
      <c r="C2" s="1184"/>
      <c r="D2" s="1184"/>
      <c r="E2" s="1184"/>
      <c r="F2" s="1184"/>
      <c r="G2" s="1184"/>
      <c r="H2" s="1184"/>
      <c r="I2" s="239"/>
      <c r="J2" s="239"/>
    </row>
    <row r="3" spans="1:10" ht="37.5" customHeight="1">
      <c r="A3" s="1185" t="s">
        <v>1570</v>
      </c>
      <c r="B3" s="1185"/>
      <c r="C3" s="1185"/>
      <c r="D3" s="1185"/>
      <c r="E3" s="1185"/>
      <c r="F3" s="1185"/>
      <c r="G3" s="1185"/>
      <c r="H3" s="1185"/>
    </row>
    <row r="5" spans="1:10" ht="42.75" customHeight="1">
      <c r="A5" s="230" t="s">
        <v>22</v>
      </c>
      <c r="B5" s="48" t="s">
        <v>2</v>
      </c>
      <c r="C5" s="48" t="s">
        <v>3</v>
      </c>
      <c r="D5" s="231" t="s">
        <v>1598</v>
      </c>
      <c r="E5" s="231" t="s">
        <v>1521</v>
      </c>
      <c r="F5" s="231" t="s">
        <v>1522</v>
      </c>
      <c r="G5" s="231" t="s">
        <v>1599</v>
      </c>
      <c r="H5" s="232" t="s">
        <v>1575</v>
      </c>
      <c r="I5" s="44"/>
    </row>
    <row r="6" spans="1:10" ht="18.75">
      <c r="A6" s="41">
        <v>1</v>
      </c>
      <c r="B6" s="41" t="s">
        <v>1600</v>
      </c>
      <c r="C6" s="41" t="s">
        <v>1601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1602</v>
      </c>
      <c r="C7" s="41" t="s">
        <v>1601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1603</v>
      </c>
      <c r="C8" s="41" t="s">
        <v>1604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1602</v>
      </c>
      <c r="C9" s="41" t="s">
        <v>1601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1605</v>
      </c>
      <c r="C10" s="41" t="s">
        <v>1606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1607</v>
      </c>
      <c r="C11" s="41" t="s">
        <v>1608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1609</v>
      </c>
      <c r="C12" s="41" t="s">
        <v>1610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1611</v>
      </c>
      <c r="C13" s="41" t="s">
        <v>1612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1613</v>
      </c>
      <c r="C14" s="41" t="s">
        <v>1612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1614</v>
      </c>
      <c r="C15" s="41" t="s">
        <v>1610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1615</v>
      </c>
      <c r="C16" s="41" t="s">
        <v>1616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1617</v>
      </c>
      <c r="C17" s="41" t="s">
        <v>1604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1618</v>
      </c>
      <c r="C18" s="41" t="s">
        <v>1619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1620</v>
      </c>
      <c r="C19" s="41" t="s">
        <v>1606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1621</v>
      </c>
      <c r="C20" s="41" t="s">
        <v>961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1622</v>
      </c>
      <c r="C21" s="41" t="s">
        <v>1623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1624</v>
      </c>
      <c r="C22" s="41" t="s">
        <v>1606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1625</v>
      </c>
      <c r="C23" s="41" t="s">
        <v>661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1626</v>
      </c>
      <c r="C24" s="41" t="s">
        <v>661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1627</v>
      </c>
      <c r="C25" s="41" t="s">
        <v>661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1628</v>
      </c>
      <c r="C26" s="41" t="s">
        <v>661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1629</v>
      </c>
      <c r="C27" s="41" t="s">
        <v>1630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1631</v>
      </c>
      <c r="C28" s="41" t="s">
        <v>1632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1633</v>
      </c>
      <c r="C29" s="41" t="s">
        <v>1634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1635</v>
      </c>
      <c r="C30" s="41" t="s">
        <v>1616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1088</v>
      </c>
      <c r="C31" s="41" t="s">
        <v>661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1636</v>
      </c>
      <c r="C32" s="41" t="s">
        <v>1604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1637</v>
      </c>
      <c r="C33" s="41" t="s">
        <v>1604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1066</v>
      </c>
      <c r="C34" s="41" t="s">
        <v>661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1089</v>
      </c>
      <c r="C35" s="41" t="s">
        <v>661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822</v>
      </c>
      <c r="C36" s="41" t="s">
        <v>1638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1090</v>
      </c>
      <c r="C37" s="41" t="s">
        <v>661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1091</v>
      </c>
      <c r="C38" s="41" t="s">
        <v>825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1639</v>
      </c>
      <c r="C39" s="41" t="s">
        <v>661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1092</v>
      </c>
      <c r="C40" s="41" t="s">
        <v>661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1640</v>
      </c>
      <c r="C41" s="41" t="s">
        <v>1606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1641</v>
      </c>
      <c r="C42" s="41" t="s">
        <v>1606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1642</v>
      </c>
      <c r="C43" s="41" t="s">
        <v>1606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1643</v>
      </c>
      <c r="C44" s="41" t="s">
        <v>1606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1644</v>
      </c>
      <c r="C45" s="41" t="s">
        <v>1606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848</v>
      </c>
      <c r="C46" s="41" t="s">
        <v>1606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1645</v>
      </c>
      <c r="C47" s="41" t="s">
        <v>661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853</v>
      </c>
      <c r="C48" s="41" t="s">
        <v>1606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1646</v>
      </c>
      <c r="C49" s="41" t="s">
        <v>1606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1647</v>
      </c>
      <c r="C50" s="41" t="s">
        <v>661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845</v>
      </c>
      <c r="C51" s="41" t="s">
        <v>1606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854</v>
      </c>
      <c r="C52" s="41" t="s">
        <v>1606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1648</v>
      </c>
      <c r="C53" s="41" t="s">
        <v>661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1649</v>
      </c>
      <c r="C54" s="41" t="s">
        <v>661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1650</v>
      </c>
      <c r="C55" s="41" t="s">
        <v>661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1651</v>
      </c>
      <c r="C56" s="41" t="s">
        <v>661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1652</v>
      </c>
      <c r="C57" s="41" t="s">
        <v>1606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1653</v>
      </c>
      <c r="C58" s="41" t="s">
        <v>1606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1061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22</v>
      </c>
      <c r="B2" s="40" t="s">
        <v>470</v>
      </c>
      <c r="C2" s="40" t="s">
        <v>3</v>
      </c>
      <c r="D2" s="225" t="s">
        <v>1654</v>
      </c>
      <c r="E2" s="225" t="s">
        <v>16</v>
      </c>
      <c r="F2" s="225" t="s">
        <v>1655</v>
      </c>
      <c r="G2" s="44"/>
      <c r="H2" s="44"/>
      <c r="I2" s="44"/>
      <c r="J2" s="44"/>
    </row>
    <row r="3" spans="1:10" ht="35.1" customHeight="1">
      <c r="A3" s="45">
        <v>1</v>
      </c>
      <c r="B3" s="41" t="s">
        <v>178</v>
      </c>
      <c r="C3" s="41" t="s">
        <v>150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1656</v>
      </c>
      <c r="C4" s="41" t="s">
        <v>1657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120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1658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551</v>
      </c>
    </row>
    <row r="5" spans="1:6" ht="17.25" customHeight="1">
      <c r="C5" s="6"/>
      <c r="D5" s="6"/>
      <c r="E5" s="196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208">
        <v>450000</v>
      </c>
      <c r="F7" s="11"/>
    </row>
    <row r="8" spans="1:6" ht="20.100000000000001" customHeight="1">
      <c r="A8" s="8">
        <v>2</v>
      </c>
      <c r="B8" s="9" t="s">
        <v>1576</v>
      </c>
      <c r="C8" s="2" t="s">
        <v>1659</v>
      </c>
      <c r="D8" s="8" t="s">
        <v>36</v>
      </c>
      <c r="E8" s="208">
        <v>150000</v>
      </c>
      <c r="F8" s="11"/>
    </row>
    <row r="9" spans="1:6" ht="20.100000000000001" customHeight="1">
      <c r="A9" s="8">
        <v>3</v>
      </c>
      <c r="B9" s="12" t="s">
        <v>1660</v>
      </c>
      <c r="C9" s="2" t="s">
        <v>1661</v>
      </c>
      <c r="D9" s="8" t="s">
        <v>36</v>
      </c>
      <c r="E9" s="208">
        <v>150000</v>
      </c>
      <c r="F9" s="11"/>
    </row>
    <row r="10" spans="1:6" ht="20.100000000000001" customHeight="1">
      <c r="A10" s="8">
        <v>4</v>
      </c>
      <c r="B10" s="9" t="s">
        <v>27</v>
      </c>
      <c r="C10" s="10" t="s">
        <v>28</v>
      </c>
      <c r="D10" s="8" t="s">
        <v>29</v>
      </c>
      <c r="E10" s="208">
        <v>150000</v>
      </c>
      <c r="F10" s="11"/>
    </row>
    <row r="11" spans="1:6" ht="20.100000000000001" customHeight="1">
      <c r="A11" s="8">
        <v>5</v>
      </c>
      <c r="B11" s="12" t="s">
        <v>30</v>
      </c>
      <c r="C11" s="2" t="s">
        <v>31</v>
      </c>
      <c r="D11" s="13" t="s">
        <v>209</v>
      </c>
      <c r="E11" s="208">
        <v>150000</v>
      </c>
      <c r="F11" s="11"/>
    </row>
    <row r="12" spans="1:6" ht="20.100000000000001" customHeight="1">
      <c r="A12" s="8">
        <v>6</v>
      </c>
      <c r="B12" s="12" t="s">
        <v>227</v>
      </c>
      <c r="C12" s="2" t="s">
        <v>1578</v>
      </c>
      <c r="D12" s="14" t="s">
        <v>209</v>
      </c>
      <c r="E12" s="208">
        <v>150000</v>
      </c>
      <c r="F12" s="11"/>
    </row>
    <row r="13" spans="1:6" ht="20.100000000000001" customHeight="1">
      <c r="A13" s="8">
        <v>7</v>
      </c>
      <c r="B13" s="9" t="s">
        <v>32</v>
      </c>
      <c r="C13" s="15" t="s">
        <v>33</v>
      </c>
      <c r="D13" s="14" t="s">
        <v>209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890</v>
      </c>
      <c r="D14" s="14" t="s">
        <v>209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893</v>
      </c>
      <c r="D15" s="13" t="s">
        <v>39</v>
      </c>
      <c r="E15" s="208">
        <v>105000</v>
      </c>
      <c r="F15" s="11"/>
    </row>
    <row r="16" spans="1:6" ht="20.100000000000001" customHeight="1">
      <c r="A16" s="8">
        <v>10</v>
      </c>
      <c r="B16" s="16" t="s">
        <v>185</v>
      </c>
      <c r="C16" s="10" t="s">
        <v>909</v>
      </c>
      <c r="D16" s="8" t="s">
        <v>908</v>
      </c>
      <c r="E16" s="208">
        <v>105000</v>
      </c>
      <c r="F16" s="11"/>
    </row>
    <row r="17" spans="1:6" ht="20.100000000000001" customHeight="1">
      <c r="A17" s="8">
        <v>11</v>
      </c>
      <c r="B17" s="17" t="s">
        <v>1662</v>
      </c>
      <c r="C17" s="2" t="s">
        <v>1663</v>
      </c>
      <c r="D17" s="14" t="s">
        <v>47</v>
      </c>
      <c r="E17" s="208">
        <v>75000</v>
      </c>
      <c r="F17" s="11"/>
    </row>
    <row r="18" spans="1:6" ht="19.5" customHeight="1">
      <c r="A18" s="8">
        <v>12</v>
      </c>
      <c r="B18" s="12" t="s">
        <v>1579</v>
      </c>
      <c r="C18" s="2" t="s">
        <v>619</v>
      </c>
      <c r="D18" s="8" t="s">
        <v>47</v>
      </c>
      <c r="E18" s="208">
        <v>75000</v>
      </c>
      <c r="F18" s="11"/>
    </row>
    <row r="19" spans="1:6" ht="19.5" customHeight="1">
      <c r="A19" s="8">
        <v>13</v>
      </c>
      <c r="B19" s="12" t="s">
        <v>1664</v>
      </c>
      <c r="C19" s="2" t="s">
        <v>1665</v>
      </c>
      <c r="D19" s="8" t="s">
        <v>47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619</v>
      </c>
      <c r="D20" s="13" t="s">
        <v>47</v>
      </c>
      <c r="E20" s="208">
        <v>75000</v>
      </c>
      <c r="F20" s="11"/>
    </row>
    <row r="21" spans="1:6" ht="20.100000000000001" customHeight="1">
      <c r="A21" s="8">
        <v>15</v>
      </c>
      <c r="B21" s="9" t="s">
        <v>51</v>
      </c>
      <c r="C21" s="10" t="s">
        <v>61</v>
      </c>
      <c r="D21" s="13" t="s">
        <v>218</v>
      </c>
      <c r="E21" s="208">
        <v>75000</v>
      </c>
      <c r="F21" s="11"/>
    </row>
    <row r="22" spans="1:6" ht="20.100000000000001" customHeight="1">
      <c r="A22" s="8">
        <v>16</v>
      </c>
      <c r="B22" s="16" t="s">
        <v>54</v>
      </c>
      <c r="C22" s="2" t="s">
        <v>55</v>
      </c>
      <c r="D22" s="13" t="s">
        <v>576</v>
      </c>
      <c r="E22" s="208">
        <v>75000</v>
      </c>
      <c r="F22" s="11"/>
    </row>
    <row r="23" spans="1:6" ht="20.100000000000001" customHeight="1">
      <c r="A23" s="8">
        <v>17</v>
      </c>
      <c r="B23" s="9" t="s">
        <v>192</v>
      </c>
      <c r="C23" s="10" t="s">
        <v>912</v>
      </c>
      <c r="D23" s="13" t="s">
        <v>70</v>
      </c>
      <c r="E23" s="208">
        <v>45000</v>
      </c>
      <c r="F23" s="11"/>
    </row>
    <row r="24" spans="1:6" ht="18.75" customHeight="1">
      <c r="A24" s="8">
        <v>18</v>
      </c>
      <c r="B24" s="9" t="s">
        <v>65</v>
      </c>
      <c r="C24" s="10" t="s">
        <v>177</v>
      </c>
      <c r="D24" s="13" t="s">
        <v>131</v>
      </c>
      <c r="E24" s="208">
        <v>45000</v>
      </c>
      <c r="F24" s="11"/>
    </row>
    <row r="25" spans="1:6" ht="18.75" customHeight="1">
      <c r="A25" s="8">
        <v>19</v>
      </c>
      <c r="B25" s="9" t="s">
        <v>259</v>
      </c>
      <c r="C25" s="2" t="s">
        <v>260</v>
      </c>
      <c r="D25" s="13" t="s">
        <v>131</v>
      </c>
      <c r="E25" s="208">
        <v>45000</v>
      </c>
      <c r="F25" s="11"/>
    </row>
    <row r="26" spans="1:6" ht="18.75" customHeight="1">
      <c r="A26" s="8">
        <v>20</v>
      </c>
      <c r="B26" s="16" t="s">
        <v>1666</v>
      </c>
      <c r="C26" s="10" t="s">
        <v>104</v>
      </c>
      <c r="D26" s="13" t="s">
        <v>78</v>
      </c>
      <c r="E26" s="208">
        <v>45000</v>
      </c>
      <c r="F26" s="11"/>
    </row>
    <row r="27" spans="1:6" ht="18.75" customHeight="1">
      <c r="A27" s="8">
        <v>21</v>
      </c>
      <c r="B27" s="2" t="s">
        <v>483</v>
      </c>
      <c r="C27" s="2" t="s">
        <v>94</v>
      </c>
      <c r="D27" s="8" t="s">
        <v>99</v>
      </c>
      <c r="E27" s="208">
        <v>45000</v>
      </c>
      <c r="F27" s="11"/>
    </row>
    <row r="28" spans="1:6" ht="18.75" customHeight="1">
      <c r="A28" s="8">
        <v>22</v>
      </c>
      <c r="B28" s="16" t="s">
        <v>79</v>
      </c>
      <c r="C28" s="10" t="s">
        <v>94</v>
      </c>
      <c r="D28" s="13" t="s">
        <v>99</v>
      </c>
      <c r="E28" s="208">
        <v>45000</v>
      </c>
      <c r="F28" s="11"/>
    </row>
    <row r="29" spans="1:6" ht="18.75" customHeight="1">
      <c r="A29" s="8">
        <v>23</v>
      </c>
      <c r="B29" s="9" t="s">
        <v>1580</v>
      </c>
      <c r="C29" s="10" t="s">
        <v>1581</v>
      </c>
      <c r="D29" s="13" t="s">
        <v>99</v>
      </c>
      <c r="E29" s="208">
        <v>45000</v>
      </c>
      <c r="F29" s="11"/>
    </row>
    <row r="30" spans="1:6" ht="18.75" customHeight="1">
      <c r="A30" s="8">
        <v>24</v>
      </c>
      <c r="B30" s="16" t="s">
        <v>84</v>
      </c>
      <c r="C30" s="10" t="s">
        <v>1528</v>
      </c>
      <c r="D30" s="13" t="s">
        <v>105</v>
      </c>
      <c r="E30" s="208">
        <v>45000</v>
      </c>
      <c r="F30" s="11"/>
    </row>
    <row r="31" spans="1:6" ht="18.75" customHeight="1">
      <c r="A31" s="8">
        <v>25</v>
      </c>
      <c r="B31" s="16" t="s">
        <v>87</v>
      </c>
      <c r="C31" s="2" t="s">
        <v>1582</v>
      </c>
      <c r="D31" s="8" t="s">
        <v>105</v>
      </c>
      <c r="E31" s="208">
        <v>45000</v>
      </c>
      <c r="F31" s="11"/>
    </row>
    <row r="32" spans="1:6" ht="18.75" customHeight="1">
      <c r="A32" s="8">
        <v>26</v>
      </c>
      <c r="B32" s="16" t="s">
        <v>91</v>
      </c>
      <c r="C32" s="15" t="s">
        <v>622</v>
      </c>
      <c r="D32" s="13" t="s">
        <v>99</v>
      </c>
      <c r="E32" s="208">
        <v>45000</v>
      </c>
      <c r="F32" s="11"/>
    </row>
    <row r="33" spans="1:6" ht="18.75" customHeight="1">
      <c r="A33" s="8">
        <v>27</v>
      </c>
      <c r="B33" s="16" t="s">
        <v>95</v>
      </c>
      <c r="C33" s="2" t="s">
        <v>623</v>
      </c>
      <c r="D33" s="8" t="s">
        <v>111</v>
      </c>
      <c r="E33" s="208">
        <v>45000</v>
      </c>
      <c r="F33" s="11"/>
    </row>
    <row r="34" spans="1:6" ht="18.75" customHeight="1">
      <c r="A34" s="8">
        <v>28</v>
      </c>
      <c r="B34" s="16" t="s">
        <v>1509</v>
      </c>
      <c r="C34" s="10" t="s">
        <v>104</v>
      </c>
      <c r="D34" s="13" t="s">
        <v>111</v>
      </c>
      <c r="E34" s="208">
        <v>45000</v>
      </c>
      <c r="F34" s="11"/>
    </row>
    <row r="35" spans="1:6" ht="18.75" customHeight="1">
      <c r="A35" s="8">
        <v>29</v>
      </c>
      <c r="B35" s="16" t="s">
        <v>1667</v>
      </c>
      <c r="C35" s="10" t="s">
        <v>104</v>
      </c>
      <c r="D35" s="13" t="s">
        <v>111</v>
      </c>
      <c r="E35" s="208">
        <v>45000</v>
      </c>
      <c r="F35" s="11"/>
    </row>
    <row r="36" spans="1:6" ht="18.75" customHeight="1">
      <c r="A36" s="8">
        <v>30</v>
      </c>
      <c r="B36" s="16" t="s">
        <v>298</v>
      </c>
      <c r="C36" s="10" t="s">
        <v>293</v>
      </c>
      <c r="D36" s="13" t="s">
        <v>277</v>
      </c>
      <c r="E36" s="208">
        <v>45000</v>
      </c>
      <c r="F36" s="11"/>
    </row>
    <row r="37" spans="1:6" ht="26.25" customHeight="1">
      <c r="A37" s="8"/>
      <c r="B37" s="18" t="s">
        <v>120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121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122</v>
      </c>
      <c r="C40" s="2" t="s">
        <v>123</v>
      </c>
      <c r="D40" s="8" t="s">
        <v>124</v>
      </c>
      <c r="E40" s="208">
        <v>225000</v>
      </c>
      <c r="F40" s="11"/>
    </row>
    <row r="41" spans="1:6" ht="18.75" customHeight="1">
      <c r="A41" s="8">
        <v>2</v>
      </c>
      <c r="B41" s="16" t="s">
        <v>127</v>
      </c>
      <c r="C41" s="2" t="s">
        <v>1122</v>
      </c>
      <c r="D41" s="8" t="s">
        <v>277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137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895</v>
      </c>
      <c r="C45" s="2" t="s">
        <v>896</v>
      </c>
      <c r="D45" s="8" t="s">
        <v>124</v>
      </c>
      <c r="E45" s="208">
        <v>225000</v>
      </c>
      <c r="F45" s="11"/>
    </row>
    <row r="46" spans="1:6" ht="20.100000000000001" customHeight="1">
      <c r="A46" s="8">
        <v>2</v>
      </c>
      <c r="B46" s="9" t="s">
        <v>897</v>
      </c>
      <c r="C46" s="2" t="s">
        <v>44</v>
      </c>
      <c r="D46" s="8" t="s">
        <v>39</v>
      </c>
      <c r="E46" s="208">
        <v>105000</v>
      </c>
      <c r="F46" s="11"/>
    </row>
    <row r="47" spans="1:6" ht="20.100000000000001" customHeight="1">
      <c r="A47" s="8">
        <v>3</v>
      </c>
      <c r="B47" s="9" t="s">
        <v>138</v>
      </c>
      <c r="C47" s="2" t="s">
        <v>142</v>
      </c>
      <c r="D47" s="8" t="s">
        <v>39</v>
      </c>
      <c r="E47" s="208">
        <v>105000</v>
      </c>
      <c r="F47" s="11"/>
    </row>
    <row r="48" spans="1:6" ht="20.100000000000001" customHeight="1">
      <c r="A48" s="8">
        <v>4</v>
      </c>
      <c r="B48" s="9" t="s">
        <v>141</v>
      </c>
      <c r="C48" s="2" t="s">
        <v>142</v>
      </c>
      <c r="D48" s="8" t="s">
        <v>39</v>
      </c>
      <c r="E48" s="208">
        <v>105000</v>
      </c>
      <c r="F48" s="11"/>
    </row>
    <row r="49" spans="1:6" ht="20.100000000000001" customHeight="1">
      <c r="A49" s="8">
        <v>5</v>
      </c>
      <c r="B49" s="9" t="s">
        <v>143</v>
      </c>
      <c r="C49" s="2" t="s">
        <v>142</v>
      </c>
      <c r="D49" s="8" t="s">
        <v>50</v>
      </c>
      <c r="E49" s="208">
        <v>105000</v>
      </c>
      <c r="F49" s="11"/>
    </row>
    <row r="50" spans="1:6" ht="20.100000000000001" customHeight="1">
      <c r="A50" s="8">
        <v>6</v>
      </c>
      <c r="B50" s="9" t="s">
        <v>144</v>
      </c>
      <c r="C50" s="2" t="s">
        <v>46</v>
      </c>
      <c r="D50" s="8" t="s">
        <v>47</v>
      </c>
      <c r="E50" s="208">
        <v>75000</v>
      </c>
      <c r="F50" s="11"/>
    </row>
    <row r="51" spans="1:6" ht="20.100000000000001" customHeight="1">
      <c r="A51" s="8">
        <v>7</v>
      </c>
      <c r="B51" s="12" t="s">
        <v>145</v>
      </c>
      <c r="C51" s="2" t="s">
        <v>52</v>
      </c>
      <c r="D51" s="14" t="s">
        <v>47</v>
      </c>
      <c r="E51" s="208">
        <v>75000</v>
      </c>
      <c r="F51" s="11"/>
    </row>
    <row r="52" spans="1:6" ht="20.100000000000001" customHeight="1">
      <c r="A52" s="8">
        <v>8</v>
      </c>
      <c r="B52" s="9" t="s">
        <v>1585</v>
      </c>
      <c r="C52" s="2" t="s">
        <v>52</v>
      </c>
      <c r="D52" s="8" t="s">
        <v>214</v>
      </c>
      <c r="E52" s="208">
        <v>75000</v>
      </c>
      <c r="F52" s="11"/>
    </row>
    <row r="53" spans="1:6" ht="20.100000000000001" customHeight="1">
      <c r="A53" s="8">
        <v>9</v>
      </c>
      <c r="B53" s="9" t="s">
        <v>45</v>
      </c>
      <c r="C53" s="2" t="s">
        <v>910</v>
      </c>
      <c r="D53" s="8" t="s">
        <v>575</v>
      </c>
      <c r="E53" s="208">
        <v>75000</v>
      </c>
      <c r="F53" s="11"/>
    </row>
    <row r="54" spans="1:6" ht="20.100000000000001" customHeight="1">
      <c r="A54" s="8">
        <v>10</v>
      </c>
      <c r="B54" s="9" t="s">
        <v>153</v>
      </c>
      <c r="C54" s="2" t="s">
        <v>150</v>
      </c>
      <c r="D54" s="8" t="s">
        <v>225</v>
      </c>
      <c r="E54" s="208">
        <v>45000</v>
      </c>
      <c r="F54" s="11"/>
    </row>
    <row r="55" spans="1:6" ht="20.100000000000001" customHeight="1">
      <c r="A55" s="8">
        <v>11</v>
      </c>
      <c r="B55" s="9" t="s">
        <v>898</v>
      </c>
      <c r="C55" s="2" t="s">
        <v>150</v>
      </c>
      <c r="D55" s="8" t="s">
        <v>225</v>
      </c>
      <c r="E55" s="208">
        <v>45000</v>
      </c>
      <c r="F55" s="11"/>
    </row>
    <row r="56" spans="1:6" ht="20.100000000000001" customHeight="1">
      <c r="A56" s="8">
        <v>12</v>
      </c>
      <c r="B56" s="9" t="s">
        <v>155</v>
      </c>
      <c r="C56" s="2" t="s">
        <v>150</v>
      </c>
      <c r="D56" s="8" t="s">
        <v>225</v>
      </c>
      <c r="E56" s="208">
        <v>45000</v>
      </c>
      <c r="F56" s="11"/>
    </row>
    <row r="57" spans="1:6" ht="25.5" customHeight="1">
      <c r="A57" s="8"/>
      <c r="B57" s="18" t="s">
        <v>120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157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899</v>
      </c>
      <c r="C60" s="10" t="s">
        <v>159</v>
      </c>
      <c r="D60" s="13" t="s">
        <v>124</v>
      </c>
      <c r="E60" s="208">
        <v>225000</v>
      </c>
      <c r="F60" s="11"/>
    </row>
    <row r="61" spans="1:6" ht="20.100000000000001" customHeight="1">
      <c r="A61" s="8">
        <v>2</v>
      </c>
      <c r="B61" s="9" t="s">
        <v>160</v>
      </c>
      <c r="C61" s="10" t="s">
        <v>161</v>
      </c>
      <c r="D61" s="13" t="s">
        <v>908</v>
      </c>
      <c r="E61" s="208">
        <v>105000</v>
      </c>
      <c r="F61" s="11"/>
    </row>
    <row r="62" spans="1:6" ht="20.100000000000001" customHeight="1">
      <c r="A62" s="8"/>
      <c r="B62" s="18" t="s">
        <v>120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163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900</v>
      </c>
      <c r="C65" s="15" t="s">
        <v>901</v>
      </c>
      <c r="D65" s="8" t="s">
        <v>124</v>
      </c>
      <c r="E65" s="208">
        <v>225000</v>
      </c>
      <c r="F65" s="11"/>
    </row>
    <row r="66" spans="1:6" ht="20.100000000000001" customHeight="1">
      <c r="A66" s="8">
        <v>2</v>
      </c>
      <c r="B66" s="16" t="s">
        <v>902</v>
      </c>
      <c r="C66" s="15" t="s">
        <v>903</v>
      </c>
      <c r="D66" s="13" t="s">
        <v>1516</v>
      </c>
      <c r="E66" s="208">
        <v>105000</v>
      </c>
      <c r="F66" s="11"/>
    </row>
    <row r="67" spans="1:6" ht="20.100000000000001" customHeight="1">
      <c r="A67" s="8">
        <v>3</v>
      </c>
      <c r="B67" s="9" t="s">
        <v>166</v>
      </c>
      <c r="C67" s="2" t="s">
        <v>217</v>
      </c>
      <c r="D67" s="8" t="s">
        <v>575</v>
      </c>
      <c r="E67" s="208">
        <v>75000</v>
      </c>
      <c r="F67" s="11"/>
    </row>
    <row r="68" spans="1:6" ht="20.100000000000001" customHeight="1">
      <c r="A68" s="8">
        <v>4</v>
      </c>
      <c r="B68" s="16" t="s">
        <v>904</v>
      </c>
      <c r="C68" s="15" t="s">
        <v>217</v>
      </c>
      <c r="D68" s="13" t="s">
        <v>218</v>
      </c>
      <c r="E68" s="208">
        <v>75000</v>
      </c>
      <c r="F68" s="11"/>
    </row>
    <row r="69" spans="1:6" ht="20.100000000000001" customHeight="1">
      <c r="A69" s="8">
        <v>5</v>
      </c>
      <c r="B69" s="12" t="s">
        <v>905</v>
      </c>
      <c r="C69" s="15" t="s">
        <v>52</v>
      </c>
      <c r="D69" s="13" t="s">
        <v>47</v>
      </c>
      <c r="E69" s="208">
        <v>75000</v>
      </c>
      <c r="F69" s="11"/>
    </row>
    <row r="70" spans="1:6" ht="20.100000000000001" customHeight="1">
      <c r="A70" s="8">
        <v>6</v>
      </c>
      <c r="B70" s="12" t="s">
        <v>43</v>
      </c>
      <c r="C70" s="15" t="s">
        <v>52</v>
      </c>
      <c r="D70" s="13" t="s">
        <v>214</v>
      </c>
      <c r="E70" s="208">
        <v>75000</v>
      </c>
      <c r="F70" s="11"/>
    </row>
    <row r="71" spans="1:6" ht="20.100000000000001" customHeight="1">
      <c r="A71" s="8">
        <v>7</v>
      </c>
      <c r="B71" s="9" t="s">
        <v>170</v>
      </c>
      <c r="C71" s="2" t="s">
        <v>150</v>
      </c>
      <c r="D71" s="8" t="s">
        <v>179</v>
      </c>
      <c r="E71" s="208">
        <v>45000</v>
      </c>
      <c r="F71" s="11"/>
    </row>
    <row r="72" spans="1:6" ht="20.100000000000001" customHeight="1">
      <c r="A72" s="8">
        <v>8</v>
      </c>
      <c r="B72" s="9" t="s">
        <v>1593</v>
      </c>
      <c r="C72" s="15" t="s">
        <v>72</v>
      </c>
      <c r="D72" s="13" t="s">
        <v>70</v>
      </c>
      <c r="E72" s="208">
        <v>45000</v>
      </c>
      <c r="F72" s="11"/>
    </row>
    <row r="73" spans="1:6" ht="20.100000000000001" customHeight="1">
      <c r="A73" s="8">
        <v>9</v>
      </c>
      <c r="B73" s="9" t="s">
        <v>171</v>
      </c>
      <c r="C73" s="15" t="s">
        <v>72</v>
      </c>
      <c r="D73" s="13" t="s">
        <v>179</v>
      </c>
      <c r="E73" s="208">
        <v>45000</v>
      </c>
      <c r="F73" s="11"/>
    </row>
    <row r="74" spans="1:6" ht="20.100000000000001" customHeight="1">
      <c r="A74" s="8">
        <v>10</v>
      </c>
      <c r="B74" s="9" t="s">
        <v>173</v>
      </c>
      <c r="C74" s="15" t="s">
        <v>72</v>
      </c>
      <c r="D74" s="13" t="s">
        <v>179</v>
      </c>
      <c r="E74" s="208">
        <v>45000</v>
      </c>
      <c r="F74" s="11"/>
    </row>
    <row r="75" spans="1:6" ht="20.100000000000001" customHeight="1">
      <c r="A75" s="8">
        <v>11</v>
      </c>
      <c r="B75" s="9" t="s">
        <v>174</v>
      </c>
      <c r="C75" s="2" t="s">
        <v>625</v>
      </c>
      <c r="D75" s="8" t="s">
        <v>131</v>
      </c>
      <c r="E75" s="208">
        <v>45000</v>
      </c>
      <c r="F75" s="11"/>
    </row>
    <row r="76" spans="1:6" ht="20.100000000000001" customHeight="1">
      <c r="A76" s="8">
        <v>12</v>
      </c>
      <c r="B76" s="9" t="s">
        <v>1668</v>
      </c>
      <c r="C76" s="15" t="s">
        <v>150</v>
      </c>
      <c r="D76" s="8" t="s">
        <v>75</v>
      </c>
      <c r="E76" s="208">
        <v>45000</v>
      </c>
      <c r="F76" s="11"/>
    </row>
    <row r="77" spans="1:6" ht="20.100000000000001" customHeight="1">
      <c r="A77" s="8">
        <v>13</v>
      </c>
      <c r="B77" s="9" t="s">
        <v>82</v>
      </c>
      <c r="C77" s="15" t="s">
        <v>69</v>
      </c>
      <c r="D77" s="8" t="s">
        <v>99</v>
      </c>
      <c r="E77" s="208">
        <v>45000</v>
      </c>
      <c r="F77" s="11"/>
    </row>
    <row r="78" spans="1:6" ht="20.100000000000001" customHeight="1">
      <c r="A78" s="8">
        <v>14</v>
      </c>
      <c r="B78" s="12" t="s">
        <v>68</v>
      </c>
      <c r="C78" s="15" t="s">
        <v>69</v>
      </c>
      <c r="D78" s="8" t="s">
        <v>111</v>
      </c>
      <c r="E78" s="208">
        <v>45000</v>
      </c>
      <c r="F78" s="11"/>
    </row>
    <row r="79" spans="1:6" ht="20.100000000000001" customHeight="1">
      <c r="A79" s="8"/>
      <c r="B79" s="18" t="s">
        <v>120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182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183</v>
      </c>
      <c r="C82" s="2" t="s">
        <v>184</v>
      </c>
      <c r="D82" s="8" t="s">
        <v>124</v>
      </c>
      <c r="E82" s="208">
        <v>225000</v>
      </c>
      <c r="F82" s="11"/>
    </row>
    <row r="83" spans="1:6" ht="20.100000000000001" customHeight="1">
      <c r="A83" s="8">
        <v>2</v>
      </c>
      <c r="B83" s="12" t="s">
        <v>906</v>
      </c>
      <c r="C83" s="2" t="s">
        <v>907</v>
      </c>
      <c r="D83" s="13" t="s">
        <v>1516</v>
      </c>
      <c r="E83" s="208">
        <v>105000</v>
      </c>
      <c r="F83" s="11"/>
    </row>
    <row r="84" spans="1:6" ht="20.100000000000001" customHeight="1">
      <c r="A84" s="8">
        <v>3</v>
      </c>
      <c r="B84" s="12" t="s">
        <v>1669</v>
      </c>
      <c r="C84" s="2" t="s">
        <v>1670</v>
      </c>
      <c r="D84" s="13" t="s">
        <v>1516</v>
      </c>
      <c r="E84" s="208">
        <v>105000</v>
      </c>
      <c r="F84" s="11"/>
    </row>
    <row r="85" spans="1:6" ht="20.100000000000001" customHeight="1">
      <c r="A85" s="8">
        <v>4</v>
      </c>
      <c r="B85" s="9" t="s">
        <v>189</v>
      </c>
      <c r="C85" s="2" t="s">
        <v>1529</v>
      </c>
      <c r="D85" s="13" t="s">
        <v>575</v>
      </c>
      <c r="E85" s="208">
        <v>75000</v>
      </c>
      <c r="F85" s="11"/>
    </row>
    <row r="86" spans="1:6" ht="20.100000000000001" customHeight="1">
      <c r="A86" s="8">
        <v>5</v>
      </c>
      <c r="B86" s="9" t="s">
        <v>196</v>
      </c>
      <c r="C86" s="2" t="s">
        <v>181</v>
      </c>
      <c r="D86" s="8" t="s">
        <v>75</v>
      </c>
      <c r="E86" s="208">
        <v>45000</v>
      </c>
      <c r="F86" s="11"/>
    </row>
    <row r="87" spans="1:6" ht="20.100000000000001" customHeight="1">
      <c r="A87" s="8"/>
      <c r="B87" s="18" t="s">
        <v>120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204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207</v>
      </c>
      <c r="C90" s="2" t="s">
        <v>142</v>
      </c>
      <c r="D90" s="8" t="s">
        <v>39</v>
      </c>
      <c r="E90" s="208">
        <v>105000</v>
      </c>
      <c r="F90" s="11"/>
    </row>
    <row r="91" spans="1:6" ht="20.100000000000001" customHeight="1">
      <c r="A91" s="8">
        <v>2</v>
      </c>
      <c r="B91" s="9" t="s">
        <v>205</v>
      </c>
      <c r="C91" s="2" t="s">
        <v>142</v>
      </c>
      <c r="D91" s="8" t="s">
        <v>39</v>
      </c>
      <c r="E91" s="208">
        <v>105000</v>
      </c>
      <c r="F91" s="11"/>
    </row>
    <row r="92" spans="1:6" ht="20.100000000000001" customHeight="1">
      <c r="A92" s="8">
        <v>3</v>
      </c>
      <c r="B92" s="12" t="s">
        <v>164</v>
      </c>
      <c r="C92" s="2" t="s">
        <v>52</v>
      </c>
      <c r="D92" s="8" t="s">
        <v>191</v>
      </c>
      <c r="E92" s="208">
        <v>75000</v>
      </c>
      <c r="F92" s="11"/>
    </row>
    <row r="93" spans="1:6" ht="20.100000000000001" customHeight="1">
      <c r="A93" s="8">
        <v>4</v>
      </c>
      <c r="B93" s="9" t="s">
        <v>210</v>
      </c>
      <c r="C93" s="2" t="s">
        <v>46</v>
      </c>
      <c r="D93" s="8" t="s">
        <v>47</v>
      </c>
      <c r="E93" s="208">
        <v>75000</v>
      </c>
      <c r="F93" s="11"/>
    </row>
    <row r="94" spans="1:6" ht="21.6" customHeight="1">
      <c r="A94" s="8">
        <v>5</v>
      </c>
      <c r="B94" s="9" t="s">
        <v>211</v>
      </c>
      <c r="C94" s="2" t="s">
        <v>910</v>
      </c>
      <c r="D94" s="13" t="s">
        <v>575</v>
      </c>
      <c r="E94" s="208">
        <v>75000</v>
      </c>
      <c r="F94" s="11"/>
    </row>
    <row r="95" spans="1:6" ht="21.6" customHeight="1">
      <c r="A95" s="8">
        <v>6</v>
      </c>
      <c r="B95" s="9" t="s">
        <v>212</v>
      </c>
      <c r="C95" s="10" t="s">
        <v>217</v>
      </c>
      <c r="D95" s="13" t="s">
        <v>218</v>
      </c>
      <c r="E95" s="208">
        <v>75000</v>
      </c>
      <c r="F95" s="11"/>
    </row>
    <row r="96" spans="1:6" ht="21.6" customHeight="1">
      <c r="A96" s="8">
        <v>7</v>
      </c>
      <c r="B96" s="9" t="s">
        <v>213</v>
      </c>
      <c r="C96" s="10" t="s">
        <v>217</v>
      </c>
      <c r="D96" s="13" t="s">
        <v>218</v>
      </c>
      <c r="E96" s="208">
        <v>75000</v>
      </c>
      <c r="F96" s="11"/>
    </row>
    <row r="97" spans="1:6" ht="21.6" customHeight="1">
      <c r="A97" s="8">
        <v>8</v>
      </c>
      <c r="B97" s="9" t="s">
        <v>215</v>
      </c>
      <c r="C97" s="15" t="s">
        <v>72</v>
      </c>
      <c r="D97" s="13" t="s">
        <v>179</v>
      </c>
      <c r="E97" s="208">
        <v>45000</v>
      </c>
      <c r="F97" s="11"/>
    </row>
    <row r="98" spans="1:6" ht="21.6" customHeight="1">
      <c r="A98" s="8">
        <v>9</v>
      </c>
      <c r="B98" s="9" t="s">
        <v>220</v>
      </c>
      <c r="C98" s="2" t="s">
        <v>221</v>
      </c>
      <c r="D98" s="8" t="s">
        <v>81</v>
      </c>
      <c r="E98" s="208">
        <v>45000</v>
      </c>
      <c r="F98" s="11"/>
    </row>
    <row r="99" spans="1:6" ht="21.6" customHeight="1">
      <c r="A99" s="8">
        <v>10</v>
      </c>
      <c r="B99" s="9" t="s">
        <v>224</v>
      </c>
      <c r="C99" s="15" t="s">
        <v>554</v>
      </c>
      <c r="D99" s="13" t="s">
        <v>111</v>
      </c>
      <c r="E99" s="208">
        <v>45000</v>
      </c>
      <c r="F99" s="11"/>
    </row>
    <row r="100" spans="1:6" ht="20.100000000000001" customHeight="1">
      <c r="A100" s="8"/>
      <c r="B100" s="18" t="s">
        <v>120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226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891</v>
      </c>
      <c r="C103" s="8" t="s">
        <v>892</v>
      </c>
      <c r="D103" s="13" t="s">
        <v>209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37</v>
      </c>
      <c r="C104" s="2" t="s">
        <v>230</v>
      </c>
      <c r="D104" s="8" t="s">
        <v>47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235</v>
      </c>
      <c r="C105" s="2" t="s">
        <v>627</v>
      </c>
      <c r="D105" s="13" t="s">
        <v>131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1671</v>
      </c>
      <c r="C106" s="2" t="s">
        <v>1672</v>
      </c>
      <c r="D106" s="13" t="s">
        <v>105</v>
      </c>
      <c r="E106" s="208">
        <v>45000</v>
      </c>
      <c r="F106" s="11"/>
    </row>
    <row r="107" spans="1:6" ht="20.100000000000001" customHeight="1">
      <c r="A107" s="2"/>
      <c r="B107" s="18" t="s">
        <v>120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239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628</v>
      </c>
      <c r="C110" s="10" t="s">
        <v>241</v>
      </c>
      <c r="D110" s="13" t="s">
        <v>124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242</v>
      </c>
      <c r="C111" s="2" t="s">
        <v>243</v>
      </c>
      <c r="D111" s="14" t="s">
        <v>209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244</v>
      </c>
      <c r="C112" s="2" t="s">
        <v>629</v>
      </c>
      <c r="D112" s="8" t="s">
        <v>56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246</v>
      </c>
      <c r="C113" s="2" t="s">
        <v>629</v>
      </c>
      <c r="D113" s="8" t="s">
        <v>56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249</v>
      </c>
      <c r="C114" s="2" t="s">
        <v>250</v>
      </c>
      <c r="D114" s="13" t="s">
        <v>517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252</v>
      </c>
      <c r="C115" s="2" t="s">
        <v>250</v>
      </c>
      <c r="D115" s="8" t="s">
        <v>105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253</v>
      </c>
      <c r="C116" s="2" t="s">
        <v>250</v>
      </c>
      <c r="D116" s="13" t="s">
        <v>111</v>
      </c>
      <c r="E116" s="208">
        <v>45000</v>
      </c>
      <c r="F116" s="11"/>
    </row>
    <row r="117" spans="1:6" ht="20.100000000000001" customHeight="1">
      <c r="A117" s="2"/>
      <c r="B117" s="18" t="s">
        <v>120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280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124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631</v>
      </c>
      <c r="D121" s="13" t="s">
        <v>39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631</v>
      </c>
      <c r="D122" s="13" t="s">
        <v>39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913</v>
      </c>
      <c r="C123" s="10" t="s">
        <v>631</v>
      </c>
      <c r="D123" s="13" t="s">
        <v>42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214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632</v>
      </c>
      <c r="D125" s="13" t="s">
        <v>575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1531</v>
      </c>
      <c r="D126" s="13" t="s">
        <v>575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633</v>
      </c>
      <c r="D127" s="8" t="s">
        <v>99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111</v>
      </c>
      <c r="E128" s="208">
        <v>45000</v>
      </c>
      <c r="F128" s="11"/>
    </row>
    <row r="129" spans="1:6" ht="20.100000000000001" customHeight="1">
      <c r="A129" s="2"/>
      <c r="B129" s="18" t="s">
        <v>120</v>
      </c>
      <c r="C129" s="24" t="s">
        <v>1673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301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914</v>
      </c>
      <c r="C132" s="10" t="s">
        <v>915</v>
      </c>
      <c r="D132" s="13" t="s">
        <v>124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916</v>
      </c>
      <c r="C133" s="10" t="s">
        <v>917</v>
      </c>
      <c r="D133" s="13" t="s">
        <v>36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305</v>
      </c>
      <c r="C134" s="2" t="s">
        <v>306</v>
      </c>
      <c r="D134" s="14" t="s">
        <v>209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307</v>
      </c>
      <c r="C135" s="10" t="s">
        <v>918</v>
      </c>
      <c r="D135" s="13" t="s">
        <v>47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309</v>
      </c>
      <c r="C136" s="2" t="s">
        <v>313</v>
      </c>
      <c r="D136" s="13" t="s">
        <v>47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229</v>
      </c>
      <c r="C137" s="2" t="s">
        <v>920</v>
      </c>
      <c r="D137" s="13" t="s">
        <v>575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231</v>
      </c>
      <c r="C138" s="10" t="s">
        <v>919</v>
      </c>
      <c r="D138" s="13" t="s">
        <v>70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314</v>
      </c>
      <c r="C139" s="10" t="s">
        <v>919</v>
      </c>
      <c r="D139" s="13" t="s">
        <v>70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315</v>
      </c>
      <c r="C140" s="2" t="s">
        <v>920</v>
      </c>
      <c r="D140" s="13" t="s">
        <v>70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317</v>
      </c>
      <c r="C141" s="10" t="s">
        <v>921</v>
      </c>
      <c r="D141" s="13" t="s">
        <v>131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319</v>
      </c>
      <c r="C142" s="10" t="s">
        <v>1533</v>
      </c>
      <c r="D142" s="13" t="s">
        <v>151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62</v>
      </c>
      <c r="C143" s="10" t="s">
        <v>921</v>
      </c>
      <c r="D143" s="13" t="s">
        <v>70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321</v>
      </c>
      <c r="C144" s="2" t="s">
        <v>330</v>
      </c>
      <c r="D144" s="13" t="s">
        <v>151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323</v>
      </c>
      <c r="C145" s="2" t="s">
        <v>922</v>
      </c>
      <c r="D145" s="13" t="s">
        <v>75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324</v>
      </c>
      <c r="C146" s="2" t="s">
        <v>922</v>
      </c>
      <c r="D146" s="13" t="s">
        <v>78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326</v>
      </c>
      <c r="C147" s="2" t="s">
        <v>922</v>
      </c>
      <c r="D147" s="13" t="s">
        <v>78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327</v>
      </c>
      <c r="C148" s="10" t="s">
        <v>328</v>
      </c>
      <c r="D148" s="13" t="s">
        <v>81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1517</v>
      </c>
      <c r="C149" s="10" t="s">
        <v>330</v>
      </c>
      <c r="D149" s="8" t="s">
        <v>225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331</v>
      </c>
      <c r="C150" s="10" t="s">
        <v>637</v>
      </c>
      <c r="D150" s="13" t="s">
        <v>75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333</v>
      </c>
      <c r="C151" s="10" t="s">
        <v>638</v>
      </c>
      <c r="D151" s="13" t="s">
        <v>99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335</v>
      </c>
      <c r="C152" s="10" t="s">
        <v>639</v>
      </c>
      <c r="D152" s="13" t="s">
        <v>75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336</v>
      </c>
      <c r="C153" s="10" t="s">
        <v>640</v>
      </c>
      <c r="D153" s="13" t="s">
        <v>99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338</v>
      </c>
      <c r="C154" s="10" t="s">
        <v>348</v>
      </c>
      <c r="D154" s="13" t="s">
        <v>105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345</v>
      </c>
      <c r="C155" s="10" t="s">
        <v>346</v>
      </c>
      <c r="D155" s="13" t="s">
        <v>277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347</v>
      </c>
      <c r="C156" s="10" t="s">
        <v>348</v>
      </c>
      <c r="D156" s="13" t="s">
        <v>277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349</v>
      </c>
      <c r="C157" s="10" t="s">
        <v>350</v>
      </c>
      <c r="D157" s="13" t="s">
        <v>111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351</v>
      </c>
      <c r="C158" s="10" t="s">
        <v>641</v>
      </c>
      <c r="D158" s="13" t="s">
        <v>111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361</v>
      </c>
      <c r="C159" s="10" t="s">
        <v>556</v>
      </c>
      <c r="D159" s="13" t="s">
        <v>379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364</v>
      </c>
      <c r="C160" s="10" t="s">
        <v>556</v>
      </c>
      <c r="D160" s="13" t="s">
        <v>379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642</v>
      </c>
      <c r="C161" s="10" t="s">
        <v>556</v>
      </c>
      <c r="D161" s="13" t="s">
        <v>379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365</v>
      </c>
      <c r="C162" s="10" t="s">
        <v>556</v>
      </c>
      <c r="D162" s="13" t="s">
        <v>379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366</v>
      </c>
      <c r="C163" s="10" t="s">
        <v>556</v>
      </c>
      <c r="D163" s="13" t="s">
        <v>379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367</v>
      </c>
      <c r="C164" s="10" t="s">
        <v>556</v>
      </c>
      <c r="D164" s="13" t="s">
        <v>582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369</v>
      </c>
      <c r="C165" s="10" t="s">
        <v>556</v>
      </c>
      <c r="D165" s="13" t="s">
        <v>582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1674</v>
      </c>
      <c r="C166" s="10" t="s">
        <v>556</v>
      </c>
      <c r="D166" s="13" t="s">
        <v>582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370</v>
      </c>
      <c r="C167" s="10" t="s">
        <v>556</v>
      </c>
      <c r="D167" s="13" t="s">
        <v>582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371</v>
      </c>
      <c r="C168" s="10" t="s">
        <v>556</v>
      </c>
      <c r="D168" s="13" t="s">
        <v>582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372</v>
      </c>
      <c r="C169" s="10" t="s">
        <v>556</v>
      </c>
      <c r="D169" s="13" t="s">
        <v>582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359</v>
      </c>
      <c r="C170" s="10" t="s">
        <v>556</v>
      </c>
      <c r="D170" s="13" t="s">
        <v>582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373</v>
      </c>
      <c r="C171" s="10" t="s">
        <v>389</v>
      </c>
      <c r="D171" s="13" t="s">
        <v>584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375</v>
      </c>
      <c r="C172" s="10" t="s">
        <v>389</v>
      </c>
      <c r="D172" s="13" t="s">
        <v>584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376</v>
      </c>
      <c r="C173" s="10" t="s">
        <v>389</v>
      </c>
      <c r="D173" s="13" t="s">
        <v>390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378</v>
      </c>
      <c r="C174" s="10" t="s">
        <v>389</v>
      </c>
      <c r="D174" s="13" t="s">
        <v>405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380</v>
      </c>
      <c r="C175" s="10" t="s">
        <v>558</v>
      </c>
      <c r="D175" s="13" t="s">
        <v>1518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381</v>
      </c>
      <c r="C176" s="10" t="s">
        <v>558</v>
      </c>
      <c r="D176" s="13" t="s">
        <v>1518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382</v>
      </c>
      <c r="C177" s="10" t="s">
        <v>558</v>
      </c>
      <c r="D177" s="13" t="s">
        <v>1518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383</v>
      </c>
      <c r="C178" s="10" t="s">
        <v>558</v>
      </c>
      <c r="D178" s="13" t="s">
        <v>1518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384</v>
      </c>
      <c r="C179" s="10" t="s">
        <v>558</v>
      </c>
      <c r="D179" s="13" t="s">
        <v>1518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385</v>
      </c>
      <c r="C180" s="10" t="s">
        <v>558</v>
      </c>
      <c r="D180" s="13" t="s">
        <v>1518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387</v>
      </c>
      <c r="C181" s="10" t="s">
        <v>558</v>
      </c>
      <c r="D181" s="13" t="s">
        <v>1518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644</v>
      </c>
      <c r="C182" s="10" t="s">
        <v>389</v>
      </c>
      <c r="D182" s="13" t="s">
        <v>1518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388</v>
      </c>
      <c r="C183" s="10" t="s">
        <v>389</v>
      </c>
      <c r="D183" s="13" t="s">
        <v>1518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360</v>
      </c>
      <c r="C184" s="10" t="s">
        <v>558</v>
      </c>
      <c r="D184" s="13" t="s">
        <v>1534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394</v>
      </c>
      <c r="C185" s="10" t="s">
        <v>558</v>
      </c>
      <c r="D185" s="13" t="s">
        <v>585</v>
      </c>
      <c r="E185" s="208">
        <v>30000</v>
      </c>
      <c r="F185" s="11"/>
    </row>
    <row r="186" spans="1:6" ht="20.100000000000001" customHeight="1">
      <c r="A186" s="25"/>
      <c r="B186" s="6" t="s">
        <v>120</v>
      </c>
      <c r="C186" s="26" t="s">
        <v>1675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408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1658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551</v>
      </c>
    </row>
    <row r="5" spans="1:6" ht="17.25" customHeight="1">
      <c r="C5" s="6"/>
      <c r="D5" s="6"/>
      <c r="E5" s="196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208">
        <v>450000</v>
      </c>
      <c r="F7" s="11"/>
    </row>
    <row r="8" spans="1:6" ht="20.100000000000001" customHeight="1">
      <c r="A8" s="8">
        <v>2</v>
      </c>
      <c r="B8" s="9" t="s">
        <v>1576</v>
      </c>
      <c r="C8" s="2" t="s">
        <v>1659</v>
      </c>
      <c r="D8" s="8" t="s">
        <v>36</v>
      </c>
      <c r="E8" s="208">
        <v>150000</v>
      </c>
      <c r="F8" s="11"/>
    </row>
    <row r="9" spans="1:6" ht="20.100000000000001" customHeight="1">
      <c r="A9" s="8">
        <v>3</v>
      </c>
      <c r="B9" s="12" t="s">
        <v>1660</v>
      </c>
      <c r="C9" s="2" t="s">
        <v>1661</v>
      </c>
      <c r="D9" s="8" t="s">
        <v>36</v>
      </c>
      <c r="E9" s="208">
        <v>150000</v>
      </c>
      <c r="F9" s="11"/>
    </row>
    <row r="10" spans="1:6" ht="20.100000000000001" customHeight="1">
      <c r="A10" s="8">
        <v>4</v>
      </c>
      <c r="B10" s="9" t="s">
        <v>27</v>
      </c>
      <c r="C10" s="10" t="s">
        <v>28</v>
      </c>
      <c r="D10" s="8" t="s">
        <v>29</v>
      </c>
      <c r="E10" s="208">
        <v>150000</v>
      </c>
      <c r="F10" s="11"/>
    </row>
    <row r="11" spans="1:6" ht="20.100000000000001" customHeight="1">
      <c r="A11" s="8">
        <v>5</v>
      </c>
      <c r="B11" s="12" t="s">
        <v>30</v>
      </c>
      <c r="C11" s="2" t="s">
        <v>31</v>
      </c>
      <c r="D11" s="13" t="s">
        <v>209</v>
      </c>
      <c r="E11" s="208">
        <v>150000</v>
      </c>
      <c r="F11" s="11"/>
    </row>
    <row r="12" spans="1:6" ht="20.100000000000001" customHeight="1">
      <c r="A12" s="8">
        <v>6</v>
      </c>
      <c r="B12" s="12" t="s">
        <v>227</v>
      </c>
      <c r="C12" s="2" t="s">
        <v>1578</v>
      </c>
      <c r="D12" s="14" t="s">
        <v>209</v>
      </c>
      <c r="E12" s="208">
        <v>150000</v>
      </c>
      <c r="F12" s="11"/>
    </row>
    <row r="13" spans="1:6" ht="20.100000000000001" customHeight="1">
      <c r="A13" s="8">
        <v>7</v>
      </c>
      <c r="B13" s="9" t="s">
        <v>32</v>
      </c>
      <c r="C13" s="15" t="s">
        <v>33</v>
      </c>
      <c r="D13" s="14" t="s">
        <v>209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890</v>
      </c>
      <c r="D14" s="14" t="s">
        <v>209</v>
      </c>
      <c r="E14" s="208">
        <v>150000</v>
      </c>
      <c r="F14" s="11"/>
    </row>
    <row r="15" spans="1:6" ht="20.100000000000001" customHeight="1">
      <c r="A15" s="8">
        <v>9</v>
      </c>
      <c r="B15" s="9" t="s">
        <v>34</v>
      </c>
      <c r="C15" s="10" t="s">
        <v>893</v>
      </c>
      <c r="D15" s="13" t="s">
        <v>39</v>
      </c>
      <c r="E15" s="208">
        <v>105000</v>
      </c>
      <c r="F15" s="11"/>
    </row>
    <row r="16" spans="1:6" ht="20.100000000000001" customHeight="1">
      <c r="A16" s="8">
        <v>10</v>
      </c>
      <c r="B16" s="16" t="s">
        <v>185</v>
      </c>
      <c r="C16" s="10" t="s">
        <v>909</v>
      </c>
      <c r="D16" s="8" t="s">
        <v>908</v>
      </c>
      <c r="E16" s="208">
        <v>105000</v>
      </c>
      <c r="F16" s="11"/>
    </row>
    <row r="17" spans="1:6" ht="20.100000000000001" customHeight="1">
      <c r="A17" s="8">
        <v>11</v>
      </c>
      <c r="B17" s="17" t="s">
        <v>1662</v>
      </c>
      <c r="C17" s="2" t="s">
        <v>1663</v>
      </c>
      <c r="D17" s="14" t="s">
        <v>47</v>
      </c>
      <c r="E17" s="208">
        <v>75000</v>
      </c>
      <c r="F17" s="11"/>
    </row>
    <row r="18" spans="1:6" ht="19.5" customHeight="1">
      <c r="A18" s="8">
        <v>12</v>
      </c>
      <c r="B18" s="12" t="s">
        <v>1579</v>
      </c>
      <c r="C18" s="2" t="s">
        <v>619</v>
      </c>
      <c r="D18" s="8" t="s">
        <v>47</v>
      </c>
      <c r="E18" s="208">
        <v>75000</v>
      </c>
      <c r="F18" s="11"/>
    </row>
    <row r="19" spans="1:6" ht="19.5" customHeight="1">
      <c r="A19" s="8">
        <v>13</v>
      </c>
      <c r="B19" s="12" t="s">
        <v>1664</v>
      </c>
      <c r="C19" s="2" t="s">
        <v>1665</v>
      </c>
      <c r="D19" s="8" t="s">
        <v>47</v>
      </c>
      <c r="E19" s="208">
        <v>75000</v>
      </c>
      <c r="F19" s="11"/>
    </row>
    <row r="20" spans="1:6" ht="20.100000000000001" customHeight="1">
      <c r="A20" s="8">
        <v>14</v>
      </c>
      <c r="B20" s="9" t="s">
        <v>40</v>
      </c>
      <c r="C20" s="2" t="s">
        <v>619</v>
      </c>
      <c r="D20" s="13" t="s">
        <v>47</v>
      </c>
      <c r="E20" s="208">
        <v>75000</v>
      </c>
      <c r="F20" s="11"/>
    </row>
    <row r="21" spans="1:6" ht="20.100000000000001" customHeight="1">
      <c r="A21" s="8">
        <v>15</v>
      </c>
      <c r="B21" s="9" t="s">
        <v>51</v>
      </c>
      <c r="C21" s="10" t="s">
        <v>61</v>
      </c>
      <c r="D21" s="13" t="s">
        <v>218</v>
      </c>
      <c r="E21" s="208">
        <v>75000</v>
      </c>
      <c r="F21" s="11"/>
    </row>
    <row r="22" spans="1:6" ht="20.100000000000001" customHeight="1">
      <c r="A22" s="8">
        <v>16</v>
      </c>
      <c r="B22" s="16" t="s">
        <v>54</v>
      </c>
      <c r="C22" s="2" t="s">
        <v>55</v>
      </c>
      <c r="D22" s="13" t="s">
        <v>576</v>
      </c>
      <c r="E22" s="208">
        <v>75000</v>
      </c>
      <c r="F22" s="11"/>
    </row>
    <row r="23" spans="1:6" ht="20.100000000000001" customHeight="1">
      <c r="A23" s="8">
        <v>17</v>
      </c>
      <c r="B23" s="9" t="s">
        <v>192</v>
      </c>
      <c r="C23" s="10" t="s">
        <v>912</v>
      </c>
      <c r="D23" s="13" t="s">
        <v>70</v>
      </c>
      <c r="E23" s="208">
        <v>45000</v>
      </c>
      <c r="F23" s="11"/>
    </row>
    <row r="24" spans="1:6" ht="18.75" customHeight="1">
      <c r="A24" s="8">
        <v>18</v>
      </c>
      <c r="B24" s="9" t="s">
        <v>65</v>
      </c>
      <c r="C24" s="10" t="s">
        <v>177</v>
      </c>
      <c r="D24" s="13" t="s">
        <v>131</v>
      </c>
      <c r="E24" s="208">
        <v>45000</v>
      </c>
      <c r="F24" s="11"/>
    </row>
    <row r="25" spans="1:6" ht="18.75" customHeight="1">
      <c r="A25" s="8">
        <v>19</v>
      </c>
      <c r="B25" s="16" t="s">
        <v>1666</v>
      </c>
      <c r="C25" s="10" t="s">
        <v>104</v>
      </c>
      <c r="D25" s="13" t="s">
        <v>78</v>
      </c>
      <c r="E25" s="208">
        <v>45000</v>
      </c>
      <c r="F25" s="11"/>
    </row>
    <row r="26" spans="1:6" ht="18.75" customHeight="1">
      <c r="A26" s="8">
        <v>20</v>
      </c>
      <c r="B26" s="2" t="s">
        <v>483</v>
      </c>
      <c r="C26" s="2" t="s">
        <v>94</v>
      </c>
      <c r="D26" s="8" t="s">
        <v>99</v>
      </c>
      <c r="E26" s="208">
        <v>45000</v>
      </c>
      <c r="F26" s="11"/>
    </row>
    <row r="27" spans="1:6" ht="18.75" customHeight="1">
      <c r="A27" s="8">
        <v>21</v>
      </c>
      <c r="B27" s="16" t="s">
        <v>79</v>
      </c>
      <c r="C27" s="10" t="s">
        <v>94</v>
      </c>
      <c r="D27" s="13" t="s">
        <v>99</v>
      </c>
      <c r="E27" s="208">
        <v>45000</v>
      </c>
      <c r="F27" s="11"/>
    </row>
    <row r="28" spans="1:6" ht="18.75" customHeight="1">
      <c r="A28" s="8">
        <v>22</v>
      </c>
      <c r="B28" s="9" t="s">
        <v>1580</v>
      </c>
      <c r="C28" s="10" t="s">
        <v>1581</v>
      </c>
      <c r="D28" s="13" t="s">
        <v>99</v>
      </c>
      <c r="E28" s="208">
        <v>45000</v>
      </c>
      <c r="F28" s="11"/>
    </row>
    <row r="29" spans="1:6" ht="18.75" customHeight="1">
      <c r="A29" s="8">
        <v>23</v>
      </c>
      <c r="B29" s="16" t="s">
        <v>84</v>
      </c>
      <c r="C29" s="10" t="s">
        <v>1528</v>
      </c>
      <c r="D29" s="13" t="s">
        <v>105</v>
      </c>
      <c r="E29" s="208">
        <v>45000</v>
      </c>
      <c r="F29" s="11"/>
    </row>
    <row r="30" spans="1:6" ht="18.75" customHeight="1">
      <c r="A30" s="8">
        <v>24</v>
      </c>
      <c r="B30" s="16" t="s">
        <v>87</v>
      </c>
      <c r="C30" s="2" t="s">
        <v>1582</v>
      </c>
      <c r="D30" s="8" t="s">
        <v>105</v>
      </c>
      <c r="E30" s="208">
        <v>45000</v>
      </c>
      <c r="F30" s="11"/>
    </row>
    <row r="31" spans="1:6" ht="18.75" customHeight="1">
      <c r="A31" s="8">
        <v>25</v>
      </c>
      <c r="B31" s="16" t="s">
        <v>91</v>
      </c>
      <c r="C31" s="15" t="s">
        <v>622</v>
      </c>
      <c r="D31" s="13" t="s">
        <v>99</v>
      </c>
      <c r="E31" s="208">
        <v>45000</v>
      </c>
      <c r="F31" s="11"/>
    </row>
    <row r="32" spans="1:6" ht="18.75" customHeight="1">
      <c r="A32" s="8">
        <v>26</v>
      </c>
      <c r="B32" s="16" t="s">
        <v>95</v>
      </c>
      <c r="C32" s="2" t="s">
        <v>623</v>
      </c>
      <c r="D32" s="8" t="s">
        <v>111</v>
      </c>
      <c r="E32" s="208">
        <v>45000</v>
      </c>
      <c r="F32" s="11"/>
    </row>
    <row r="33" spans="1:6" ht="18.75" customHeight="1">
      <c r="A33" s="8">
        <v>27</v>
      </c>
      <c r="B33" s="16" t="s">
        <v>1509</v>
      </c>
      <c r="C33" s="10" t="s">
        <v>104</v>
      </c>
      <c r="D33" s="13" t="s">
        <v>111</v>
      </c>
      <c r="E33" s="208">
        <v>45000</v>
      </c>
      <c r="F33" s="11"/>
    </row>
    <row r="34" spans="1:6" ht="18.75" customHeight="1">
      <c r="A34" s="8">
        <v>28</v>
      </c>
      <c r="B34" s="16" t="s">
        <v>1667</v>
      </c>
      <c r="C34" s="10" t="s">
        <v>104</v>
      </c>
      <c r="D34" s="13" t="s">
        <v>111</v>
      </c>
      <c r="E34" s="208">
        <v>45000</v>
      </c>
      <c r="F34" s="11"/>
    </row>
    <row r="35" spans="1:6" ht="18.75" customHeight="1">
      <c r="A35" s="8">
        <v>29</v>
      </c>
      <c r="B35" s="16" t="s">
        <v>298</v>
      </c>
      <c r="C35" s="10" t="s">
        <v>293</v>
      </c>
      <c r="D35" s="13" t="s">
        <v>277</v>
      </c>
      <c r="E35" s="208">
        <v>45000</v>
      </c>
      <c r="F35" s="11"/>
    </row>
    <row r="36" spans="1:6" ht="26.25" customHeight="1">
      <c r="A36" s="8"/>
      <c r="B36" s="18" t="s">
        <v>120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121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122</v>
      </c>
      <c r="C39" s="2" t="s">
        <v>123</v>
      </c>
      <c r="D39" s="8" t="s">
        <v>124</v>
      </c>
      <c r="E39" s="208">
        <v>225000</v>
      </c>
      <c r="F39" s="11"/>
    </row>
    <row r="40" spans="1:6" ht="18.75" customHeight="1">
      <c r="A40" s="8">
        <v>2</v>
      </c>
      <c r="B40" s="16" t="s">
        <v>127</v>
      </c>
      <c r="C40" s="2" t="s">
        <v>1122</v>
      </c>
      <c r="D40" s="8" t="s">
        <v>277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137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895</v>
      </c>
      <c r="C44" s="2" t="s">
        <v>896</v>
      </c>
      <c r="D44" s="8" t="s">
        <v>124</v>
      </c>
      <c r="E44" s="208">
        <v>225000</v>
      </c>
      <c r="F44" s="11"/>
    </row>
    <row r="45" spans="1:6" ht="20.100000000000001" customHeight="1">
      <c r="A45" s="8">
        <v>2</v>
      </c>
      <c r="B45" s="9" t="s">
        <v>897</v>
      </c>
      <c r="C45" s="2" t="s">
        <v>44</v>
      </c>
      <c r="D45" s="8" t="s">
        <v>39</v>
      </c>
      <c r="E45" s="208">
        <v>105000</v>
      </c>
      <c r="F45" s="11"/>
    </row>
    <row r="46" spans="1:6" ht="20.100000000000001" customHeight="1">
      <c r="A46" s="8">
        <v>3</v>
      </c>
      <c r="B46" s="9" t="s">
        <v>138</v>
      </c>
      <c r="C46" s="2" t="s">
        <v>142</v>
      </c>
      <c r="D46" s="8" t="s">
        <v>39</v>
      </c>
      <c r="E46" s="208">
        <v>105000</v>
      </c>
      <c r="F46" s="11"/>
    </row>
    <row r="47" spans="1:6" ht="20.100000000000001" customHeight="1">
      <c r="A47" s="8">
        <v>4</v>
      </c>
      <c r="B47" s="9" t="s">
        <v>141</v>
      </c>
      <c r="C47" s="2" t="s">
        <v>142</v>
      </c>
      <c r="D47" s="8" t="s">
        <v>39</v>
      </c>
      <c r="E47" s="208">
        <v>105000</v>
      </c>
      <c r="F47" s="11"/>
    </row>
    <row r="48" spans="1:6" ht="20.100000000000001" customHeight="1">
      <c r="A48" s="8">
        <v>5</v>
      </c>
      <c r="B48" s="9" t="s">
        <v>143</v>
      </c>
      <c r="C48" s="2" t="s">
        <v>142</v>
      </c>
      <c r="D48" s="8" t="s">
        <v>50</v>
      </c>
      <c r="E48" s="208">
        <v>105000</v>
      </c>
      <c r="F48" s="11"/>
    </row>
    <row r="49" spans="1:6" ht="20.100000000000001" customHeight="1">
      <c r="A49" s="8">
        <v>6</v>
      </c>
      <c r="B49" s="9" t="s">
        <v>144</v>
      </c>
      <c r="C49" s="2" t="s">
        <v>46</v>
      </c>
      <c r="D49" s="8" t="s">
        <v>47</v>
      </c>
      <c r="E49" s="208">
        <v>75000</v>
      </c>
      <c r="F49" s="11"/>
    </row>
    <row r="50" spans="1:6" ht="20.100000000000001" customHeight="1">
      <c r="A50" s="8">
        <v>7</v>
      </c>
      <c r="B50" s="12" t="s">
        <v>145</v>
      </c>
      <c r="C50" s="2" t="s">
        <v>52</v>
      </c>
      <c r="D50" s="14" t="s">
        <v>47</v>
      </c>
      <c r="E50" s="208">
        <v>75000</v>
      </c>
      <c r="F50" s="11"/>
    </row>
    <row r="51" spans="1:6" ht="20.100000000000001" customHeight="1">
      <c r="A51" s="8">
        <v>8</v>
      </c>
      <c r="B51" s="9" t="s">
        <v>1585</v>
      </c>
      <c r="C51" s="2" t="s">
        <v>52</v>
      </c>
      <c r="D51" s="8" t="s">
        <v>214</v>
      </c>
      <c r="E51" s="208">
        <v>75000</v>
      </c>
      <c r="F51" s="11"/>
    </row>
    <row r="52" spans="1:6" ht="20.100000000000001" customHeight="1">
      <c r="A52" s="8">
        <v>9</v>
      </c>
      <c r="B52" s="9" t="s">
        <v>45</v>
      </c>
      <c r="C52" s="2" t="s">
        <v>910</v>
      </c>
      <c r="D52" s="8" t="s">
        <v>575</v>
      </c>
      <c r="E52" s="208">
        <v>75000</v>
      </c>
      <c r="F52" s="11"/>
    </row>
    <row r="53" spans="1:6" ht="20.100000000000001" customHeight="1">
      <c r="A53" s="8">
        <v>10</v>
      </c>
      <c r="B53" s="9" t="s">
        <v>153</v>
      </c>
      <c r="C53" s="2" t="s">
        <v>150</v>
      </c>
      <c r="D53" s="8" t="s">
        <v>225</v>
      </c>
      <c r="E53" s="208">
        <v>45000</v>
      </c>
      <c r="F53" s="11"/>
    </row>
    <row r="54" spans="1:6" ht="20.100000000000001" customHeight="1">
      <c r="A54" s="8">
        <v>11</v>
      </c>
      <c r="B54" s="9" t="s">
        <v>898</v>
      </c>
      <c r="C54" s="2" t="s">
        <v>150</v>
      </c>
      <c r="D54" s="8" t="s">
        <v>225</v>
      </c>
      <c r="E54" s="208">
        <v>45000</v>
      </c>
      <c r="F54" s="11"/>
    </row>
    <row r="55" spans="1:6" ht="20.100000000000001" customHeight="1">
      <c r="A55" s="8">
        <v>12</v>
      </c>
      <c r="B55" s="9" t="s">
        <v>155</v>
      </c>
      <c r="C55" s="2" t="s">
        <v>150</v>
      </c>
      <c r="D55" s="8" t="s">
        <v>225</v>
      </c>
      <c r="E55" s="208">
        <v>45000</v>
      </c>
      <c r="F55" s="11"/>
    </row>
    <row r="56" spans="1:6" ht="25.5" customHeight="1">
      <c r="A56" s="8"/>
      <c r="B56" s="18" t="s">
        <v>120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157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899</v>
      </c>
      <c r="C59" s="10" t="s">
        <v>159</v>
      </c>
      <c r="D59" s="13" t="s">
        <v>124</v>
      </c>
      <c r="E59" s="208">
        <v>225000</v>
      </c>
      <c r="F59" s="11"/>
    </row>
    <row r="60" spans="1:6" ht="20.100000000000001" customHeight="1">
      <c r="A60" s="8">
        <v>2</v>
      </c>
      <c r="B60" s="9" t="s">
        <v>160</v>
      </c>
      <c r="C60" s="10" t="s">
        <v>161</v>
      </c>
      <c r="D60" s="13" t="s">
        <v>908</v>
      </c>
      <c r="E60" s="208">
        <v>105000</v>
      </c>
      <c r="F60" s="11"/>
    </row>
    <row r="61" spans="1:6" ht="20.100000000000001" customHeight="1">
      <c r="A61" s="8"/>
      <c r="B61" s="18" t="s">
        <v>120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163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900</v>
      </c>
      <c r="C64" s="15" t="s">
        <v>901</v>
      </c>
      <c r="D64" s="8" t="s">
        <v>124</v>
      </c>
      <c r="E64" s="208">
        <v>225000</v>
      </c>
      <c r="F64" s="11"/>
    </row>
    <row r="65" spans="1:6" ht="20.100000000000001" customHeight="1">
      <c r="A65" s="8">
        <v>2</v>
      </c>
      <c r="B65" s="16" t="s">
        <v>902</v>
      </c>
      <c r="C65" s="15" t="s">
        <v>903</v>
      </c>
      <c r="D65" s="13" t="s">
        <v>1516</v>
      </c>
      <c r="E65" s="208">
        <v>105000</v>
      </c>
      <c r="F65" s="11"/>
    </row>
    <row r="66" spans="1:6" ht="20.100000000000001" customHeight="1">
      <c r="A66" s="8">
        <v>3</v>
      </c>
      <c r="B66" s="9" t="s">
        <v>166</v>
      </c>
      <c r="C66" s="2" t="s">
        <v>217</v>
      </c>
      <c r="D66" s="8" t="s">
        <v>575</v>
      </c>
      <c r="E66" s="208">
        <v>75000</v>
      </c>
      <c r="F66" s="11"/>
    </row>
    <row r="67" spans="1:6" ht="20.100000000000001" customHeight="1">
      <c r="A67" s="8">
        <v>4</v>
      </c>
      <c r="B67" s="16" t="s">
        <v>904</v>
      </c>
      <c r="C67" s="15" t="s">
        <v>217</v>
      </c>
      <c r="D67" s="13" t="s">
        <v>218</v>
      </c>
      <c r="E67" s="208">
        <v>75000</v>
      </c>
      <c r="F67" s="11"/>
    </row>
    <row r="68" spans="1:6" ht="20.100000000000001" customHeight="1">
      <c r="A68" s="8">
        <v>5</v>
      </c>
      <c r="B68" s="12" t="s">
        <v>905</v>
      </c>
      <c r="C68" s="15" t="s">
        <v>52</v>
      </c>
      <c r="D68" s="13" t="s">
        <v>47</v>
      </c>
      <c r="E68" s="208">
        <v>75000</v>
      </c>
      <c r="F68" s="11"/>
    </row>
    <row r="69" spans="1:6" ht="20.100000000000001" customHeight="1">
      <c r="A69" s="8">
        <v>6</v>
      </c>
      <c r="B69" s="12" t="s">
        <v>43</v>
      </c>
      <c r="C69" s="15" t="s">
        <v>52</v>
      </c>
      <c r="D69" s="13" t="s">
        <v>214</v>
      </c>
      <c r="E69" s="208">
        <v>75000</v>
      </c>
      <c r="F69" s="11"/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179</v>
      </c>
      <c r="E70" s="208">
        <v>45000</v>
      </c>
      <c r="F70" s="11"/>
    </row>
    <row r="71" spans="1:6" ht="20.100000000000001" customHeight="1">
      <c r="A71" s="8">
        <v>8</v>
      </c>
      <c r="B71" s="9" t="s">
        <v>171</v>
      </c>
      <c r="C71" s="15" t="s">
        <v>72</v>
      </c>
      <c r="D71" s="13" t="s">
        <v>179</v>
      </c>
      <c r="E71" s="208">
        <v>45000</v>
      </c>
      <c r="F71" s="11"/>
    </row>
    <row r="72" spans="1:6" ht="20.100000000000001" customHeight="1">
      <c r="A72" s="8">
        <v>9</v>
      </c>
      <c r="B72" s="9" t="s">
        <v>173</v>
      </c>
      <c r="C72" s="15" t="s">
        <v>72</v>
      </c>
      <c r="D72" s="13" t="s">
        <v>179</v>
      </c>
      <c r="E72" s="208">
        <v>45000</v>
      </c>
      <c r="F72" s="11"/>
    </row>
    <row r="73" spans="1:6" ht="20.100000000000001" customHeight="1">
      <c r="A73" s="8">
        <v>10</v>
      </c>
      <c r="B73" s="9" t="s">
        <v>174</v>
      </c>
      <c r="C73" s="2" t="s">
        <v>625</v>
      </c>
      <c r="D73" s="8" t="s">
        <v>131</v>
      </c>
      <c r="E73" s="208">
        <v>45000</v>
      </c>
      <c r="F73" s="11"/>
    </row>
    <row r="74" spans="1:6" ht="20.100000000000001" customHeight="1">
      <c r="A74" s="8">
        <v>11</v>
      </c>
      <c r="B74" s="9" t="s">
        <v>1668</v>
      </c>
      <c r="C74" s="15" t="s">
        <v>150</v>
      </c>
      <c r="D74" s="8" t="s">
        <v>75</v>
      </c>
      <c r="E74" s="208">
        <v>45000</v>
      </c>
      <c r="F74" s="11"/>
    </row>
    <row r="75" spans="1:6" ht="20.100000000000001" customHeight="1">
      <c r="A75" s="8">
        <v>12</v>
      </c>
      <c r="B75" s="9" t="s">
        <v>82</v>
      </c>
      <c r="C75" s="15" t="s">
        <v>69</v>
      </c>
      <c r="D75" s="8" t="s">
        <v>99</v>
      </c>
      <c r="E75" s="208">
        <v>45000</v>
      </c>
      <c r="F75" s="11"/>
    </row>
    <row r="76" spans="1:6" ht="20.100000000000001" customHeight="1">
      <c r="A76" s="8">
        <v>13</v>
      </c>
      <c r="B76" s="12" t="s">
        <v>68</v>
      </c>
      <c r="C76" s="15" t="s">
        <v>69</v>
      </c>
      <c r="D76" s="8" t="s">
        <v>111</v>
      </c>
      <c r="E76" s="208">
        <v>45000</v>
      </c>
      <c r="F76" s="11"/>
    </row>
    <row r="77" spans="1:6" ht="20.100000000000001" customHeight="1">
      <c r="A77" s="8"/>
      <c r="B77" s="18" t="s">
        <v>120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182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183</v>
      </c>
      <c r="C80" s="2" t="s">
        <v>184</v>
      </c>
      <c r="D80" s="8" t="s">
        <v>124</v>
      </c>
      <c r="E80" s="208">
        <v>225000</v>
      </c>
      <c r="F80" s="11"/>
    </row>
    <row r="81" spans="1:6" ht="20.100000000000001" customHeight="1">
      <c r="A81" s="8">
        <v>2</v>
      </c>
      <c r="B81" s="12" t="s">
        <v>906</v>
      </c>
      <c r="C81" s="2" t="s">
        <v>907</v>
      </c>
      <c r="D81" s="13" t="s">
        <v>1516</v>
      </c>
      <c r="E81" s="208">
        <v>105000</v>
      </c>
      <c r="F81" s="11"/>
    </row>
    <row r="82" spans="1:6" ht="20.100000000000001" customHeight="1">
      <c r="A82" s="8">
        <v>3</v>
      </c>
      <c r="B82" s="12" t="s">
        <v>1669</v>
      </c>
      <c r="C82" s="2" t="s">
        <v>1670</v>
      </c>
      <c r="D82" s="13" t="s">
        <v>1516</v>
      </c>
      <c r="E82" s="208">
        <v>105000</v>
      </c>
      <c r="F82" s="11"/>
    </row>
    <row r="83" spans="1:6" ht="20.100000000000001" customHeight="1">
      <c r="A83" s="8">
        <v>4</v>
      </c>
      <c r="B83" s="9" t="s">
        <v>189</v>
      </c>
      <c r="C83" s="2" t="s">
        <v>1529</v>
      </c>
      <c r="D83" s="13" t="s">
        <v>575</v>
      </c>
      <c r="E83" s="208">
        <v>75000</v>
      </c>
      <c r="F83" s="11"/>
    </row>
    <row r="84" spans="1:6" ht="20.100000000000001" customHeight="1">
      <c r="A84" s="8">
        <v>5</v>
      </c>
      <c r="B84" s="9" t="s">
        <v>196</v>
      </c>
      <c r="C84" s="2" t="s">
        <v>181</v>
      </c>
      <c r="D84" s="8" t="s">
        <v>75</v>
      </c>
      <c r="E84" s="208">
        <v>45000</v>
      </c>
      <c r="F84" s="11"/>
    </row>
    <row r="85" spans="1:6" ht="20.100000000000001" customHeight="1">
      <c r="A85" s="8"/>
      <c r="B85" s="18" t="s">
        <v>120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204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207</v>
      </c>
      <c r="C88" s="2" t="s">
        <v>142</v>
      </c>
      <c r="D88" s="8" t="s">
        <v>39</v>
      </c>
      <c r="E88" s="208">
        <v>105000</v>
      </c>
      <c r="F88" s="11"/>
    </row>
    <row r="89" spans="1:6" ht="20.100000000000001" customHeight="1">
      <c r="A89" s="8">
        <v>2</v>
      </c>
      <c r="B89" s="9" t="s">
        <v>205</v>
      </c>
      <c r="C89" s="2" t="s">
        <v>142</v>
      </c>
      <c r="D89" s="8" t="s">
        <v>39</v>
      </c>
      <c r="E89" s="208">
        <v>105000</v>
      </c>
      <c r="F89" s="11"/>
    </row>
    <row r="90" spans="1:6" ht="20.100000000000001" customHeight="1">
      <c r="A90" s="8">
        <v>3</v>
      </c>
      <c r="B90" s="12" t="s">
        <v>164</v>
      </c>
      <c r="C90" s="2" t="s">
        <v>52</v>
      </c>
      <c r="D90" s="8" t="s">
        <v>191</v>
      </c>
      <c r="E90" s="208">
        <v>75000</v>
      </c>
      <c r="F90" s="11"/>
    </row>
    <row r="91" spans="1:6" ht="20.100000000000001" customHeight="1">
      <c r="A91" s="8">
        <v>4</v>
      </c>
      <c r="B91" s="9" t="s">
        <v>210</v>
      </c>
      <c r="C91" s="2" t="s">
        <v>46</v>
      </c>
      <c r="D91" s="8" t="s">
        <v>47</v>
      </c>
      <c r="E91" s="208">
        <v>75000</v>
      </c>
      <c r="F91" s="11"/>
    </row>
    <row r="92" spans="1:6" ht="21.6" customHeight="1">
      <c r="A92" s="8">
        <v>5</v>
      </c>
      <c r="B92" s="9" t="s">
        <v>211</v>
      </c>
      <c r="C92" s="2" t="s">
        <v>910</v>
      </c>
      <c r="D92" s="13" t="s">
        <v>575</v>
      </c>
      <c r="E92" s="208">
        <v>75000</v>
      </c>
      <c r="F92" s="11"/>
    </row>
    <row r="93" spans="1:6" ht="21.6" customHeight="1">
      <c r="A93" s="8">
        <v>6</v>
      </c>
      <c r="B93" s="9" t="s">
        <v>212</v>
      </c>
      <c r="C93" s="10" t="s">
        <v>217</v>
      </c>
      <c r="D93" s="13" t="s">
        <v>218</v>
      </c>
      <c r="E93" s="208">
        <v>75000</v>
      </c>
      <c r="F93" s="11"/>
    </row>
    <row r="94" spans="1:6" ht="21.6" customHeight="1">
      <c r="A94" s="8">
        <v>7</v>
      </c>
      <c r="B94" s="9" t="s">
        <v>213</v>
      </c>
      <c r="C94" s="10" t="s">
        <v>217</v>
      </c>
      <c r="D94" s="13" t="s">
        <v>218</v>
      </c>
      <c r="E94" s="208">
        <v>75000</v>
      </c>
      <c r="F94" s="11"/>
    </row>
    <row r="95" spans="1:6" ht="21.6" customHeight="1">
      <c r="A95" s="8">
        <v>8</v>
      </c>
      <c r="B95" s="9" t="s">
        <v>215</v>
      </c>
      <c r="C95" s="15" t="s">
        <v>72</v>
      </c>
      <c r="D95" s="13" t="s">
        <v>179</v>
      </c>
      <c r="E95" s="208">
        <v>45000</v>
      </c>
      <c r="F95" s="11"/>
    </row>
    <row r="96" spans="1:6" ht="21.6" customHeight="1">
      <c r="A96" s="8">
        <v>9</v>
      </c>
      <c r="B96" s="9" t="s">
        <v>220</v>
      </c>
      <c r="C96" s="2" t="s">
        <v>221</v>
      </c>
      <c r="D96" s="8" t="s">
        <v>81</v>
      </c>
      <c r="E96" s="208">
        <v>45000</v>
      </c>
      <c r="F96" s="11"/>
    </row>
    <row r="97" spans="1:6" ht="21.6" customHeight="1">
      <c r="A97" s="8">
        <v>10</v>
      </c>
      <c r="B97" s="9" t="s">
        <v>224</v>
      </c>
      <c r="C97" s="15" t="s">
        <v>554</v>
      </c>
      <c r="D97" s="13" t="s">
        <v>111</v>
      </c>
      <c r="E97" s="208">
        <v>45000</v>
      </c>
      <c r="F97" s="11"/>
    </row>
    <row r="98" spans="1:6" ht="20.100000000000001" customHeight="1">
      <c r="A98" s="8"/>
      <c r="B98" s="18" t="s">
        <v>120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226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891</v>
      </c>
      <c r="C101" s="8" t="s">
        <v>892</v>
      </c>
      <c r="D101" s="13" t="s">
        <v>209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37</v>
      </c>
      <c r="C102" s="2" t="s">
        <v>230</v>
      </c>
      <c r="D102" s="8" t="s">
        <v>47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235</v>
      </c>
      <c r="C103" s="2" t="s">
        <v>627</v>
      </c>
      <c r="D103" s="13" t="s">
        <v>131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1671</v>
      </c>
      <c r="C104" s="2" t="s">
        <v>1672</v>
      </c>
      <c r="D104" s="13" t="s">
        <v>105</v>
      </c>
      <c r="E104" s="208">
        <v>45000</v>
      </c>
      <c r="F104" s="11"/>
    </row>
    <row r="105" spans="1:6" ht="20.100000000000001" customHeight="1">
      <c r="A105" s="2"/>
      <c r="B105" s="18" t="s">
        <v>120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239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628</v>
      </c>
      <c r="C108" s="10" t="s">
        <v>241</v>
      </c>
      <c r="D108" s="13" t="s">
        <v>124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242</v>
      </c>
      <c r="C109" s="2" t="s">
        <v>243</v>
      </c>
      <c r="D109" s="14" t="s">
        <v>209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244</v>
      </c>
      <c r="C110" s="2" t="s">
        <v>629</v>
      </c>
      <c r="D110" s="8" t="s">
        <v>56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246</v>
      </c>
      <c r="C111" s="2" t="s">
        <v>629</v>
      </c>
      <c r="D111" s="8" t="s">
        <v>56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249</v>
      </c>
      <c r="C112" s="2" t="s">
        <v>250</v>
      </c>
      <c r="D112" s="13" t="s">
        <v>517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252</v>
      </c>
      <c r="C113" s="2" t="s">
        <v>250</v>
      </c>
      <c r="D113" s="8" t="s">
        <v>105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253</v>
      </c>
      <c r="C114" s="2" t="s">
        <v>250</v>
      </c>
      <c r="D114" s="13" t="s">
        <v>111</v>
      </c>
      <c r="E114" s="208">
        <v>45000</v>
      </c>
      <c r="F114" s="11"/>
    </row>
    <row r="115" spans="1:6" ht="20.100000000000001" customHeight="1">
      <c r="A115" s="2"/>
      <c r="B115" s="18" t="s">
        <v>120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1676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1593</v>
      </c>
      <c r="C118" s="15" t="s">
        <v>72</v>
      </c>
      <c r="D118" s="13" t="s">
        <v>70</v>
      </c>
      <c r="E118" s="208">
        <v>45000</v>
      </c>
      <c r="F118" s="11"/>
    </row>
    <row r="119" spans="1:6" ht="27" customHeight="1">
      <c r="A119" s="8">
        <v>2</v>
      </c>
      <c r="B119" s="9" t="s">
        <v>259</v>
      </c>
      <c r="C119" s="2" t="s">
        <v>260</v>
      </c>
      <c r="D119" s="13" t="s">
        <v>131</v>
      </c>
      <c r="E119" s="208">
        <v>45000</v>
      </c>
      <c r="F119" s="11"/>
    </row>
    <row r="120" spans="1:6" ht="27" customHeight="1">
      <c r="A120" s="2"/>
      <c r="B120" s="18" t="s">
        <v>120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280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281</v>
      </c>
      <c r="C123" s="10" t="s">
        <v>282</v>
      </c>
      <c r="D123" s="13" t="s">
        <v>124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283</v>
      </c>
      <c r="C124" s="10" t="s">
        <v>631</v>
      </c>
      <c r="D124" s="13" t="s">
        <v>39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285</v>
      </c>
      <c r="C125" s="10" t="s">
        <v>631</v>
      </c>
      <c r="D125" s="13" t="s">
        <v>39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913</v>
      </c>
      <c r="C126" s="10" t="s">
        <v>631</v>
      </c>
      <c r="D126" s="13" t="s">
        <v>42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288</v>
      </c>
      <c r="C127" s="10" t="s">
        <v>290</v>
      </c>
      <c r="D127" s="13" t="s">
        <v>214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289</v>
      </c>
      <c r="C128" s="10" t="s">
        <v>632</v>
      </c>
      <c r="D128" s="13" t="s">
        <v>575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291</v>
      </c>
      <c r="C129" s="10" t="s">
        <v>1531</v>
      </c>
      <c r="D129" s="13" t="s">
        <v>575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294</v>
      </c>
      <c r="C130" s="10" t="s">
        <v>633</v>
      </c>
      <c r="D130" s="8" t="s">
        <v>99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296</v>
      </c>
      <c r="C131" s="10" t="s">
        <v>297</v>
      </c>
      <c r="D131" s="13" t="s">
        <v>111</v>
      </c>
      <c r="E131" s="208">
        <v>45000</v>
      </c>
      <c r="F131" s="11"/>
    </row>
    <row r="132" spans="1:6" ht="20.100000000000001" customHeight="1">
      <c r="A132" s="2"/>
      <c r="B132" s="18" t="s">
        <v>120</v>
      </c>
      <c r="C132" s="24" t="s">
        <v>1673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301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914</v>
      </c>
      <c r="C135" s="10" t="s">
        <v>915</v>
      </c>
      <c r="D135" s="13" t="s">
        <v>124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916</v>
      </c>
      <c r="C136" s="10" t="s">
        <v>917</v>
      </c>
      <c r="D136" s="13" t="s">
        <v>36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305</v>
      </c>
      <c r="C137" s="2" t="s">
        <v>306</v>
      </c>
      <c r="D137" s="14" t="s">
        <v>209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307</v>
      </c>
      <c r="C138" s="10" t="s">
        <v>918</v>
      </c>
      <c r="D138" s="13" t="s">
        <v>47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309</v>
      </c>
      <c r="C139" s="2" t="s">
        <v>313</v>
      </c>
      <c r="D139" s="13" t="s">
        <v>47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229</v>
      </c>
      <c r="C140" s="2" t="s">
        <v>920</v>
      </c>
      <c r="D140" s="13" t="s">
        <v>575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231</v>
      </c>
      <c r="C141" s="10" t="s">
        <v>919</v>
      </c>
      <c r="D141" s="13" t="s">
        <v>70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314</v>
      </c>
      <c r="C142" s="10" t="s">
        <v>919</v>
      </c>
      <c r="D142" s="13" t="s">
        <v>70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315</v>
      </c>
      <c r="C143" s="2" t="s">
        <v>920</v>
      </c>
      <c r="D143" s="13" t="s">
        <v>70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317</v>
      </c>
      <c r="C144" s="10" t="s">
        <v>921</v>
      </c>
      <c r="D144" s="13" t="s">
        <v>131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319</v>
      </c>
      <c r="C145" s="10" t="s">
        <v>1533</v>
      </c>
      <c r="D145" s="13" t="s">
        <v>151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62</v>
      </c>
      <c r="C146" s="10" t="s">
        <v>921</v>
      </c>
      <c r="D146" s="13" t="s">
        <v>70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321</v>
      </c>
      <c r="C147" s="2" t="s">
        <v>330</v>
      </c>
      <c r="D147" s="13" t="s">
        <v>151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323</v>
      </c>
      <c r="C148" s="2" t="s">
        <v>922</v>
      </c>
      <c r="D148" s="13" t="s">
        <v>75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324</v>
      </c>
      <c r="C149" s="2" t="s">
        <v>922</v>
      </c>
      <c r="D149" s="13" t="s">
        <v>78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326</v>
      </c>
      <c r="C150" s="2" t="s">
        <v>922</v>
      </c>
      <c r="D150" s="13" t="s">
        <v>78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327</v>
      </c>
      <c r="C151" s="10" t="s">
        <v>328</v>
      </c>
      <c r="D151" s="13" t="s">
        <v>81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1517</v>
      </c>
      <c r="C152" s="10" t="s">
        <v>330</v>
      </c>
      <c r="D152" s="8" t="s">
        <v>225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331</v>
      </c>
      <c r="C153" s="10" t="s">
        <v>637</v>
      </c>
      <c r="D153" s="13" t="s">
        <v>75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333</v>
      </c>
      <c r="C154" s="10" t="s">
        <v>638</v>
      </c>
      <c r="D154" s="13" t="s">
        <v>99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335</v>
      </c>
      <c r="C155" s="10" t="s">
        <v>639</v>
      </c>
      <c r="D155" s="13" t="s">
        <v>75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336</v>
      </c>
      <c r="C156" s="10" t="s">
        <v>640</v>
      </c>
      <c r="D156" s="13" t="s">
        <v>99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338</v>
      </c>
      <c r="C157" s="10" t="s">
        <v>348</v>
      </c>
      <c r="D157" s="13" t="s">
        <v>105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345</v>
      </c>
      <c r="C158" s="10" t="s">
        <v>346</v>
      </c>
      <c r="D158" s="13" t="s">
        <v>277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347</v>
      </c>
      <c r="C159" s="10" t="s">
        <v>348</v>
      </c>
      <c r="D159" s="13" t="s">
        <v>277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349</v>
      </c>
      <c r="C160" s="10" t="s">
        <v>350</v>
      </c>
      <c r="D160" s="13" t="s">
        <v>111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351</v>
      </c>
      <c r="C161" s="10" t="s">
        <v>641</v>
      </c>
      <c r="D161" s="13" t="s">
        <v>111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361</v>
      </c>
      <c r="C162" s="10" t="s">
        <v>556</v>
      </c>
      <c r="D162" s="13" t="s">
        <v>379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364</v>
      </c>
      <c r="C163" s="10" t="s">
        <v>556</v>
      </c>
      <c r="D163" s="13" t="s">
        <v>379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642</v>
      </c>
      <c r="C164" s="10" t="s">
        <v>556</v>
      </c>
      <c r="D164" s="13" t="s">
        <v>379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365</v>
      </c>
      <c r="C165" s="10" t="s">
        <v>556</v>
      </c>
      <c r="D165" s="13" t="s">
        <v>379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366</v>
      </c>
      <c r="C166" s="10" t="s">
        <v>556</v>
      </c>
      <c r="D166" s="13" t="s">
        <v>379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367</v>
      </c>
      <c r="C167" s="10" t="s">
        <v>556</v>
      </c>
      <c r="D167" s="13" t="s">
        <v>582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369</v>
      </c>
      <c r="C168" s="10" t="s">
        <v>556</v>
      </c>
      <c r="D168" s="13" t="s">
        <v>582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370</v>
      </c>
      <c r="C169" s="10" t="s">
        <v>556</v>
      </c>
      <c r="D169" s="13" t="s">
        <v>582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371</v>
      </c>
      <c r="C170" s="10" t="s">
        <v>556</v>
      </c>
      <c r="D170" s="13" t="s">
        <v>582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372</v>
      </c>
      <c r="C171" s="10" t="s">
        <v>556</v>
      </c>
      <c r="D171" s="13" t="s">
        <v>582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359</v>
      </c>
      <c r="C172" s="10" t="s">
        <v>556</v>
      </c>
      <c r="D172" s="13" t="s">
        <v>582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373</v>
      </c>
      <c r="C173" s="10" t="s">
        <v>389</v>
      </c>
      <c r="D173" s="13" t="s">
        <v>584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375</v>
      </c>
      <c r="C174" s="10" t="s">
        <v>389</v>
      </c>
      <c r="D174" s="13" t="s">
        <v>584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376</v>
      </c>
      <c r="C175" s="10" t="s">
        <v>389</v>
      </c>
      <c r="D175" s="13" t="s">
        <v>390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378</v>
      </c>
      <c r="C176" s="10" t="s">
        <v>389</v>
      </c>
      <c r="D176" s="13" t="s">
        <v>405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380</v>
      </c>
      <c r="C177" s="10" t="s">
        <v>558</v>
      </c>
      <c r="D177" s="13" t="s">
        <v>1518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381</v>
      </c>
      <c r="C178" s="10" t="s">
        <v>558</v>
      </c>
      <c r="D178" s="13" t="s">
        <v>1518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382</v>
      </c>
      <c r="C179" s="10" t="s">
        <v>558</v>
      </c>
      <c r="D179" s="13" t="s">
        <v>1518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383</v>
      </c>
      <c r="C180" s="10" t="s">
        <v>558</v>
      </c>
      <c r="D180" s="13" t="s">
        <v>1518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384</v>
      </c>
      <c r="C181" s="10" t="s">
        <v>558</v>
      </c>
      <c r="D181" s="13" t="s">
        <v>1518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385</v>
      </c>
      <c r="C182" s="10" t="s">
        <v>558</v>
      </c>
      <c r="D182" s="13" t="s">
        <v>1518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387</v>
      </c>
      <c r="C183" s="10" t="s">
        <v>558</v>
      </c>
      <c r="D183" s="13" t="s">
        <v>1518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644</v>
      </c>
      <c r="C184" s="10" t="s">
        <v>389</v>
      </c>
      <c r="D184" s="13" t="s">
        <v>1518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388</v>
      </c>
      <c r="C185" s="10" t="s">
        <v>389</v>
      </c>
      <c r="D185" s="13" t="s">
        <v>1518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360</v>
      </c>
      <c r="C186" s="10" t="s">
        <v>558</v>
      </c>
      <c r="D186" s="13" t="s">
        <v>1534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394</v>
      </c>
      <c r="C187" s="10" t="s">
        <v>558</v>
      </c>
      <c r="D187" s="13" t="s">
        <v>585</v>
      </c>
      <c r="E187" s="208">
        <v>30000</v>
      </c>
      <c r="F187" s="11"/>
    </row>
    <row r="188" spans="1:6" ht="20.100000000000001" customHeight="1">
      <c r="A188" s="25"/>
      <c r="B188" s="6" t="s">
        <v>120</v>
      </c>
      <c r="C188" s="26" t="s">
        <v>1677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408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'[19]Sallah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1658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551</v>
      </c>
    </row>
    <row r="5" spans="1:6" ht="17.25" customHeight="1">
      <c r="C5" s="6"/>
      <c r="D5" s="6"/>
      <c r="E5" s="196" t="s">
        <v>21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208">
        <v>540000</v>
      </c>
      <c r="F7" s="11"/>
    </row>
    <row r="8" spans="1:6" ht="20.100000000000001" customHeight="1">
      <c r="A8" s="8">
        <v>2</v>
      </c>
      <c r="B8" s="9" t="s">
        <v>1576</v>
      </c>
      <c r="C8" s="2" t="s">
        <v>1659</v>
      </c>
      <c r="D8" s="8" t="s">
        <v>36</v>
      </c>
      <c r="E8" s="208">
        <v>180000</v>
      </c>
      <c r="F8" s="11"/>
    </row>
    <row r="9" spans="1:6" ht="20.100000000000001" customHeight="1">
      <c r="A9" s="8">
        <v>3</v>
      </c>
      <c r="B9" s="9" t="s">
        <v>27</v>
      </c>
      <c r="C9" s="10" t="s">
        <v>28</v>
      </c>
      <c r="D9" s="8" t="s">
        <v>29</v>
      </c>
      <c r="E9" s="208">
        <v>180000</v>
      </c>
      <c r="F9" s="11"/>
    </row>
    <row r="10" spans="1:6" ht="20.100000000000001" customHeight="1">
      <c r="A10" s="8">
        <v>4</v>
      </c>
      <c r="B10" s="12" t="s">
        <v>30</v>
      </c>
      <c r="C10" s="2" t="s">
        <v>31</v>
      </c>
      <c r="D10" s="13" t="s">
        <v>209</v>
      </c>
      <c r="E10" s="208">
        <v>180000</v>
      </c>
      <c r="F10" s="11"/>
    </row>
    <row r="11" spans="1:6" ht="20.100000000000001" customHeight="1">
      <c r="A11" s="8">
        <v>5</v>
      </c>
      <c r="B11" s="12" t="s">
        <v>227</v>
      </c>
      <c r="C11" s="2" t="s">
        <v>1578</v>
      </c>
      <c r="D11" s="14" t="s">
        <v>209</v>
      </c>
      <c r="E11" s="208">
        <v>180000</v>
      </c>
      <c r="F11" s="11"/>
    </row>
    <row r="12" spans="1:6" ht="20.100000000000001" customHeight="1">
      <c r="A12" s="8">
        <v>6</v>
      </c>
      <c r="B12" s="9" t="s">
        <v>32</v>
      </c>
      <c r="C12" s="15" t="s">
        <v>33</v>
      </c>
      <c r="D12" s="14" t="s">
        <v>209</v>
      </c>
      <c r="E12" s="208">
        <v>180000</v>
      </c>
      <c r="F12" s="11"/>
    </row>
    <row r="13" spans="1:6" ht="20.100000000000001" customHeight="1">
      <c r="A13" s="8">
        <v>7</v>
      </c>
      <c r="B13" s="12" t="s">
        <v>302</v>
      </c>
      <c r="C13" s="2" t="s">
        <v>890</v>
      </c>
      <c r="D13" s="14" t="s">
        <v>209</v>
      </c>
      <c r="E13" s="208">
        <v>180000</v>
      </c>
      <c r="F13" s="11"/>
    </row>
    <row r="14" spans="1:6" ht="20.100000000000001" customHeight="1">
      <c r="A14" s="8">
        <v>8</v>
      </c>
      <c r="B14" s="9" t="s">
        <v>34</v>
      </c>
      <c r="C14" s="10" t="s">
        <v>893</v>
      </c>
      <c r="D14" s="13" t="s">
        <v>39</v>
      </c>
      <c r="E14" s="208">
        <v>126000</v>
      </c>
      <c r="F14" s="11"/>
    </row>
    <row r="15" spans="1:6" ht="20.100000000000001" customHeight="1">
      <c r="A15" s="8">
        <v>9</v>
      </c>
      <c r="B15" s="16" t="s">
        <v>185</v>
      </c>
      <c r="C15" s="10" t="s">
        <v>909</v>
      </c>
      <c r="D15" s="8" t="s">
        <v>908</v>
      </c>
      <c r="E15" s="208">
        <v>126000</v>
      </c>
      <c r="F15" s="11"/>
    </row>
    <row r="16" spans="1:6" ht="20.100000000000001" customHeight="1">
      <c r="A16" s="8">
        <v>10</v>
      </c>
      <c r="B16" s="17" t="s">
        <v>1662</v>
      </c>
      <c r="C16" s="2" t="s">
        <v>1663</v>
      </c>
      <c r="D16" s="14" t="s">
        <v>47</v>
      </c>
      <c r="E16" s="208">
        <v>90000</v>
      </c>
      <c r="F16" s="11"/>
    </row>
    <row r="17" spans="1:6" ht="19.5" customHeight="1">
      <c r="A17" s="8">
        <v>11</v>
      </c>
      <c r="B17" s="12" t="s">
        <v>1579</v>
      </c>
      <c r="C17" s="2" t="s">
        <v>619</v>
      </c>
      <c r="D17" s="8" t="s">
        <v>47</v>
      </c>
      <c r="E17" s="208">
        <v>90000</v>
      </c>
      <c r="F17" s="11"/>
    </row>
    <row r="18" spans="1:6" ht="19.5" customHeight="1">
      <c r="A18" s="8">
        <v>12</v>
      </c>
      <c r="B18" s="12" t="s">
        <v>1664</v>
      </c>
      <c r="C18" s="2" t="s">
        <v>1665</v>
      </c>
      <c r="D18" s="8" t="s">
        <v>47</v>
      </c>
      <c r="E18" s="208">
        <v>90000</v>
      </c>
      <c r="F18" s="11"/>
    </row>
    <row r="19" spans="1:6" ht="20.100000000000001" customHeight="1">
      <c r="A19" s="8">
        <v>13</v>
      </c>
      <c r="B19" s="9" t="s">
        <v>40</v>
      </c>
      <c r="C19" s="2" t="s">
        <v>619</v>
      </c>
      <c r="D19" s="13" t="s">
        <v>47</v>
      </c>
      <c r="E19" s="208">
        <v>90000</v>
      </c>
      <c r="F19" s="11"/>
    </row>
    <row r="20" spans="1:6" ht="20.100000000000001" customHeight="1">
      <c r="A20" s="8">
        <v>14</v>
      </c>
      <c r="B20" s="9" t="s">
        <v>51</v>
      </c>
      <c r="C20" s="10" t="s">
        <v>61</v>
      </c>
      <c r="D20" s="13" t="s">
        <v>218</v>
      </c>
      <c r="E20" s="208">
        <v>90000</v>
      </c>
      <c r="F20" s="11"/>
    </row>
    <row r="21" spans="1:6" ht="20.100000000000001" customHeight="1">
      <c r="A21" s="8">
        <v>15</v>
      </c>
      <c r="B21" s="16" t="s">
        <v>54</v>
      </c>
      <c r="C21" s="2" t="s">
        <v>55</v>
      </c>
      <c r="D21" s="13" t="s">
        <v>576</v>
      </c>
      <c r="E21" s="208">
        <v>90000</v>
      </c>
      <c r="F21" s="11"/>
    </row>
    <row r="22" spans="1:6" ht="20.100000000000001" customHeight="1">
      <c r="A22" s="8">
        <v>16</v>
      </c>
      <c r="B22" s="9" t="s">
        <v>192</v>
      </c>
      <c r="C22" s="10" t="s">
        <v>912</v>
      </c>
      <c r="D22" s="13" t="s">
        <v>70</v>
      </c>
      <c r="E22" s="208">
        <v>54000</v>
      </c>
      <c r="F22" s="11"/>
    </row>
    <row r="23" spans="1:6" ht="18.75" customHeight="1">
      <c r="A23" s="8">
        <v>17</v>
      </c>
      <c r="B23" s="9" t="s">
        <v>65</v>
      </c>
      <c r="C23" s="10" t="s">
        <v>177</v>
      </c>
      <c r="D23" s="13" t="s">
        <v>131</v>
      </c>
      <c r="E23" s="208">
        <v>54000</v>
      </c>
      <c r="F23" s="11"/>
    </row>
    <row r="24" spans="1:6" ht="18.75" customHeight="1">
      <c r="A24" s="8">
        <v>18</v>
      </c>
      <c r="B24" s="16" t="s">
        <v>1666</v>
      </c>
      <c r="C24" s="10" t="s">
        <v>104</v>
      </c>
      <c r="D24" s="13" t="s">
        <v>78</v>
      </c>
      <c r="E24" s="208">
        <v>54000</v>
      </c>
      <c r="F24" s="11"/>
    </row>
    <row r="25" spans="1:6" ht="18.75" customHeight="1">
      <c r="A25" s="8">
        <v>19</v>
      </c>
      <c r="B25" s="2" t="s">
        <v>483</v>
      </c>
      <c r="C25" s="2" t="s">
        <v>94</v>
      </c>
      <c r="D25" s="8" t="s">
        <v>99</v>
      </c>
      <c r="E25" s="208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94</v>
      </c>
      <c r="D26" s="13" t="s">
        <v>99</v>
      </c>
      <c r="E26" s="208">
        <v>54000</v>
      </c>
      <c r="F26" s="11"/>
    </row>
    <row r="27" spans="1:6" ht="18.75" customHeight="1">
      <c r="A27" s="8">
        <v>21</v>
      </c>
      <c r="B27" s="9" t="s">
        <v>1580</v>
      </c>
      <c r="C27" s="10" t="s">
        <v>1581</v>
      </c>
      <c r="D27" s="13" t="s">
        <v>99</v>
      </c>
      <c r="E27" s="208">
        <v>54000</v>
      </c>
      <c r="F27" s="11"/>
    </row>
    <row r="28" spans="1:6" ht="18.75" customHeight="1">
      <c r="A28" s="8">
        <v>22</v>
      </c>
      <c r="B28" s="16" t="s">
        <v>84</v>
      </c>
      <c r="C28" s="10" t="s">
        <v>1528</v>
      </c>
      <c r="D28" s="13" t="s">
        <v>105</v>
      </c>
      <c r="E28" s="208">
        <v>54000</v>
      </c>
      <c r="F28" s="11"/>
    </row>
    <row r="29" spans="1:6" ht="18.75" customHeight="1">
      <c r="A29" s="8">
        <v>23</v>
      </c>
      <c r="B29" s="16" t="s">
        <v>87</v>
      </c>
      <c r="C29" s="2" t="s">
        <v>1582</v>
      </c>
      <c r="D29" s="8" t="s">
        <v>105</v>
      </c>
      <c r="E29" s="208">
        <v>54000</v>
      </c>
      <c r="F29" s="11"/>
    </row>
    <row r="30" spans="1:6" ht="18.75" customHeight="1">
      <c r="A30" s="8">
        <v>24</v>
      </c>
      <c r="B30" s="16" t="s">
        <v>91</v>
      </c>
      <c r="C30" s="15" t="s">
        <v>622</v>
      </c>
      <c r="D30" s="13" t="s">
        <v>99</v>
      </c>
      <c r="E30" s="208">
        <v>54000</v>
      </c>
      <c r="F30" s="11"/>
    </row>
    <row r="31" spans="1:6" ht="18.75" customHeight="1">
      <c r="A31" s="8">
        <v>25</v>
      </c>
      <c r="B31" s="16" t="s">
        <v>95</v>
      </c>
      <c r="C31" s="2" t="s">
        <v>623</v>
      </c>
      <c r="D31" s="8" t="s">
        <v>111</v>
      </c>
      <c r="E31" s="208">
        <v>54000</v>
      </c>
      <c r="F31" s="11"/>
    </row>
    <row r="32" spans="1:6" ht="18.75" customHeight="1">
      <c r="A32" s="8">
        <v>26</v>
      </c>
      <c r="B32" s="16" t="s">
        <v>1509</v>
      </c>
      <c r="C32" s="10" t="s">
        <v>104</v>
      </c>
      <c r="D32" s="13" t="s">
        <v>111</v>
      </c>
      <c r="E32" s="208">
        <v>54000</v>
      </c>
      <c r="F32" s="11"/>
    </row>
    <row r="33" spans="1:6" ht="18.75" customHeight="1">
      <c r="A33" s="8">
        <v>27</v>
      </c>
      <c r="B33" s="16" t="s">
        <v>1667</v>
      </c>
      <c r="C33" s="10" t="s">
        <v>104</v>
      </c>
      <c r="D33" s="13" t="s">
        <v>111</v>
      </c>
      <c r="E33" s="208">
        <v>54000</v>
      </c>
      <c r="F33" s="11"/>
    </row>
    <row r="34" spans="1:6" ht="18.75" customHeight="1">
      <c r="A34" s="8">
        <v>28</v>
      </c>
      <c r="B34" s="16" t="s">
        <v>298</v>
      </c>
      <c r="C34" s="10" t="s">
        <v>293</v>
      </c>
      <c r="D34" s="13" t="s">
        <v>277</v>
      </c>
      <c r="E34" s="208">
        <v>54000</v>
      </c>
      <c r="F34" s="11"/>
    </row>
    <row r="35" spans="1:6" ht="26.25" customHeight="1">
      <c r="A35" s="8"/>
      <c r="B35" s="18" t="s">
        <v>120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121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122</v>
      </c>
      <c r="C38" s="2" t="s">
        <v>123</v>
      </c>
      <c r="D38" s="8" t="s">
        <v>124</v>
      </c>
      <c r="E38" s="208">
        <v>270000</v>
      </c>
      <c r="F38" s="11"/>
    </row>
    <row r="39" spans="1:6" ht="18.75" customHeight="1">
      <c r="A39" s="8">
        <v>2</v>
      </c>
      <c r="B39" s="16" t="s">
        <v>127</v>
      </c>
      <c r="C39" s="2" t="s">
        <v>1122</v>
      </c>
      <c r="D39" s="8" t="s">
        <v>277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137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208">
        <v>270000</v>
      </c>
      <c r="F43" s="11"/>
    </row>
    <row r="44" spans="1:6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208">
        <v>126000</v>
      </c>
      <c r="F44" s="11"/>
    </row>
    <row r="45" spans="1:6" ht="20.100000000000001" customHeight="1">
      <c r="A45" s="8">
        <v>3</v>
      </c>
      <c r="B45" s="9" t="s">
        <v>138</v>
      </c>
      <c r="C45" s="2" t="s">
        <v>142</v>
      </c>
      <c r="D45" s="8" t="s">
        <v>39</v>
      </c>
      <c r="E45" s="208">
        <v>126000</v>
      </c>
      <c r="F45" s="11"/>
    </row>
    <row r="46" spans="1:6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208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142</v>
      </c>
      <c r="D47" s="8" t="s">
        <v>50</v>
      </c>
      <c r="E47" s="208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46</v>
      </c>
      <c r="D48" s="8" t="s">
        <v>47</v>
      </c>
      <c r="E48" s="208">
        <v>90000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208">
        <v>90000</v>
      </c>
      <c r="F49" s="11"/>
    </row>
    <row r="50" spans="1:6" ht="20.100000000000001" customHeight="1">
      <c r="A50" s="8">
        <v>8</v>
      </c>
      <c r="B50" s="9" t="s">
        <v>1585</v>
      </c>
      <c r="C50" s="2" t="s">
        <v>52</v>
      </c>
      <c r="D50" s="8" t="s">
        <v>214</v>
      </c>
      <c r="E50" s="208">
        <v>90000</v>
      </c>
      <c r="F50" s="11"/>
    </row>
    <row r="51" spans="1:6" ht="20.100000000000001" customHeight="1">
      <c r="A51" s="8">
        <v>9</v>
      </c>
      <c r="B51" s="9" t="s">
        <v>45</v>
      </c>
      <c r="C51" s="2" t="s">
        <v>910</v>
      </c>
      <c r="D51" s="8" t="s">
        <v>575</v>
      </c>
      <c r="E51" s="208">
        <v>90000</v>
      </c>
      <c r="F51" s="11"/>
    </row>
    <row r="52" spans="1:6" ht="20.100000000000001" customHeight="1">
      <c r="A52" s="8">
        <v>10</v>
      </c>
      <c r="B52" s="9" t="s">
        <v>153</v>
      </c>
      <c r="C52" s="2" t="s">
        <v>150</v>
      </c>
      <c r="D52" s="8" t="s">
        <v>225</v>
      </c>
      <c r="E52" s="208">
        <v>54000</v>
      </c>
      <c r="F52" s="11"/>
    </row>
    <row r="53" spans="1:6" ht="20.100000000000001" customHeight="1">
      <c r="A53" s="8">
        <v>11</v>
      </c>
      <c r="B53" s="9" t="s">
        <v>898</v>
      </c>
      <c r="C53" s="2" t="s">
        <v>150</v>
      </c>
      <c r="D53" s="8" t="s">
        <v>225</v>
      </c>
      <c r="E53" s="208">
        <v>54000</v>
      </c>
      <c r="F53" s="11"/>
    </row>
    <row r="54" spans="1:6" ht="20.100000000000001" customHeight="1">
      <c r="A54" s="8">
        <v>12</v>
      </c>
      <c r="B54" s="9" t="s">
        <v>155</v>
      </c>
      <c r="C54" s="2" t="s">
        <v>150</v>
      </c>
      <c r="D54" s="8" t="s">
        <v>225</v>
      </c>
      <c r="E54" s="208">
        <v>54000</v>
      </c>
      <c r="F54" s="11"/>
    </row>
    <row r="55" spans="1:6" ht="25.5" customHeight="1">
      <c r="A55" s="8"/>
      <c r="B55" s="18" t="s">
        <v>120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157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899</v>
      </c>
      <c r="C58" s="10" t="s">
        <v>159</v>
      </c>
      <c r="D58" s="13" t="s">
        <v>124</v>
      </c>
      <c r="E58" s="208">
        <v>270000</v>
      </c>
      <c r="F58" s="11"/>
    </row>
    <row r="59" spans="1:6" ht="20.100000000000001" customHeight="1">
      <c r="A59" s="8">
        <v>2</v>
      </c>
      <c r="B59" s="9" t="s">
        <v>160</v>
      </c>
      <c r="C59" s="10" t="s">
        <v>161</v>
      </c>
      <c r="D59" s="13" t="s">
        <v>908</v>
      </c>
      <c r="E59" s="208">
        <v>126000</v>
      </c>
      <c r="F59" s="11"/>
    </row>
    <row r="60" spans="1:6" ht="20.100000000000001" customHeight="1">
      <c r="A60" s="8"/>
      <c r="B60" s="18" t="s">
        <v>120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163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900</v>
      </c>
      <c r="C63" s="15" t="s">
        <v>901</v>
      </c>
      <c r="D63" s="8" t="s">
        <v>124</v>
      </c>
      <c r="E63" s="208">
        <v>270000</v>
      </c>
      <c r="F63" s="11"/>
    </row>
    <row r="64" spans="1:6" ht="20.100000000000001" customHeight="1">
      <c r="A64" s="8">
        <v>2</v>
      </c>
      <c r="B64" s="16" t="s">
        <v>902</v>
      </c>
      <c r="C64" s="15" t="s">
        <v>903</v>
      </c>
      <c r="D64" s="13" t="s">
        <v>1516</v>
      </c>
      <c r="E64" s="208">
        <v>126000</v>
      </c>
      <c r="F64" s="11"/>
    </row>
    <row r="65" spans="1:6" ht="20.100000000000001" customHeight="1">
      <c r="A65" s="8">
        <v>3</v>
      </c>
      <c r="B65" s="9" t="s">
        <v>166</v>
      </c>
      <c r="C65" s="2" t="s">
        <v>217</v>
      </c>
      <c r="D65" s="8" t="s">
        <v>575</v>
      </c>
      <c r="E65" s="208">
        <v>90000</v>
      </c>
      <c r="F65" s="11"/>
    </row>
    <row r="66" spans="1:6" ht="20.100000000000001" customHeight="1">
      <c r="A66" s="8">
        <v>4</v>
      </c>
      <c r="B66" s="16" t="s">
        <v>904</v>
      </c>
      <c r="C66" s="15" t="s">
        <v>217</v>
      </c>
      <c r="D66" s="13" t="s">
        <v>218</v>
      </c>
      <c r="E66" s="208">
        <v>90000</v>
      </c>
      <c r="F66" s="11"/>
    </row>
    <row r="67" spans="1:6" ht="20.100000000000001" customHeight="1">
      <c r="A67" s="8">
        <v>5</v>
      </c>
      <c r="B67" s="12" t="s">
        <v>905</v>
      </c>
      <c r="C67" s="15" t="s">
        <v>52</v>
      </c>
      <c r="D67" s="13" t="s">
        <v>47</v>
      </c>
      <c r="E67" s="208">
        <v>90000</v>
      </c>
      <c r="F67" s="11"/>
    </row>
    <row r="68" spans="1:6" ht="20.100000000000001" customHeight="1">
      <c r="A68" s="8">
        <v>6</v>
      </c>
      <c r="B68" s="12" t="s">
        <v>43</v>
      </c>
      <c r="C68" s="15" t="s">
        <v>52</v>
      </c>
      <c r="D68" s="13" t="s">
        <v>214</v>
      </c>
      <c r="E68" s="208">
        <v>90000</v>
      </c>
      <c r="F68" s="11"/>
    </row>
    <row r="69" spans="1:6" ht="20.100000000000001" customHeight="1">
      <c r="A69" s="8">
        <v>7</v>
      </c>
      <c r="B69" s="9" t="s">
        <v>170</v>
      </c>
      <c r="C69" s="2" t="s">
        <v>150</v>
      </c>
      <c r="D69" s="8" t="s">
        <v>179</v>
      </c>
      <c r="E69" s="208">
        <v>54000</v>
      </c>
      <c r="F69" s="11"/>
    </row>
    <row r="70" spans="1:6" ht="20.100000000000001" customHeight="1">
      <c r="A70" s="8">
        <v>8</v>
      </c>
      <c r="B70" s="9" t="s">
        <v>171</v>
      </c>
      <c r="C70" s="15" t="s">
        <v>72</v>
      </c>
      <c r="D70" s="13" t="s">
        <v>179</v>
      </c>
      <c r="E70" s="208">
        <v>54000</v>
      </c>
      <c r="F70" s="11"/>
    </row>
    <row r="71" spans="1:6" ht="20.100000000000001" customHeight="1">
      <c r="A71" s="8">
        <v>9</v>
      </c>
      <c r="B71" s="9" t="s">
        <v>173</v>
      </c>
      <c r="C71" s="15" t="s">
        <v>72</v>
      </c>
      <c r="D71" s="13" t="s">
        <v>179</v>
      </c>
      <c r="E71" s="208">
        <v>54000</v>
      </c>
      <c r="F71" s="11"/>
    </row>
    <row r="72" spans="1:6" ht="20.100000000000001" customHeight="1">
      <c r="A72" s="8">
        <v>10</v>
      </c>
      <c r="B72" s="9" t="s">
        <v>174</v>
      </c>
      <c r="C72" s="2" t="s">
        <v>625</v>
      </c>
      <c r="D72" s="8" t="s">
        <v>131</v>
      </c>
      <c r="E72" s="208">
        <v>54000</v>
      </c>
      <c r="F72" s="11"/>
    </row>
    <row r="73" spans="1:6" ht="20.100000000000001" customHeight="1">
      <c r="A73" s="8">
        <v>11</v>
      </c>
      <c r="B73" s="9" t="s">
        <v>1668</v>
      </c>
      <c r="C73" s="15" t="s">
        <v>150</v>
      </c>
      <c r="D73" s="8" t="s">
        <v>75</v>
      </c>
      <c r="E73" s="208">
        <v>54000</v>
      </c>
      <c r="F73" s="11"/>
    </row>
    <row r="74" spans="1:6" ht="20.100000000000001" customHeight="1">
      <c r="A74" s="8">
        <v>12</v>
      </c>
      <c r="B74" s="9" t="s">
        <v>82</v>
      </c>
      <c r="C74" s="15" t="s">
        <v>69</v>
      </c>
      <c r="D74" s="8" t="s">
        <v>99</v>
      </c>
      <c r="E74" s="208">
        <v>54000</v>
      </c>
      <c r="F74" s="11"/>
    </row>
    <row r="75" spans="1:6" ht="20.100000000000001" customHeight="1">
      <c r="A75" s="8">
        <v>13</v>
      </c>
      <c r="B75" s="12" t="s">
        <v>68</v>
      </c>
      <c r="C75" s="15" t="s">
        <v>69</v>
      </c>
      <c r="D75" s="8" t="s">
        <v>111</v>
      </c>
      <c r="E75" s="208">
        <v>54000</v>
      </c>
      <c r="F75" s="11"/>
    </row>
    <row r="76" spans="1:6" ht="20.100000000000001" customHeight="1">
      <c r="A76" s="8"/>
      <c r="B76" s="18" t="s">
        <v>120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182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183</v>
      </c>
      <c r="C79" s="2" t="s">
        <v>184</v>
      </c>
      <c r="D79" s="8" t="s">
        <v>124</v>
      </c>
      <c r="E79" s="208">
        <v>270000</v>
      </c>
      <c r="F79" s="11"/>
    </row>
    <row r="80" spans="1:6" ht="20.100000000000001" customHeight="1">
      <c r="A80" s="8">
        <v>2</v>
      </c>
      <c r="B80" s="12" t="s">
        <v>906</v>
      </c>
      <c r="C80" s="2" t="s">
        <v>907</v>
      </c>
      <c r="D80" s="13" t="s">
        <v>1516</v>
      </c>
      <c r="E80" s="208">
        <v>126000</v>
      </c>
      <c r="F80" s="11"/>
    </row>
    <row r="81" spans="1:6" ht="20.100000000000001" customHeight="1">
      <c r="A81" s="8">
        <v>3</v>
      </c>
      <c r="B81" s="12" t="s">
        <v>1669</v>
      </c>
      <c r="C81" s="2" t="s">
        <v>1670</v>
      </c>
      <c r="D81" s="13" t="s">
        <v>1516</v>
      </c>
      <c r="E81" s="208">
        <v>126000</v>
      </c>
      <c r="F81" s="11"/>
    </row>
    <row r="82" spans="1:6" ht="20.100000000000001" customHeight="1">
      <c r="A82" s="8">
        <v>4</v>
      </c>
      <c r="B82" s="9" t="s">
        <v>189</v>
      </c>
      <c r="C82" s="2" t="s">
        <v>1529</v>
      </c>
      <c r="D82" s="13" t="s">
        <v>575</v>
      </c>
      <c r="E82" s="208">
        <v>90000</v>
      </c>
      <c r="F82" s="11"/>
    </row>
    <row r="83" spans="1:6" ht="20.100000000000001" customHeight="1">
      <c r="A83" s="8">
        <v>5</v>
      </c>
      <c r="B83" s="9" t="s">
        <v>196</v>
      </c>
      <c r="C83" s="2" t="s">
        <v>181</v>
      </c>
      <c r="D83" s="8" t="s">
        <v>75</v>
      </c>
      <c r="E83" s="208">
        <v>54000</v>
      </c>
      <c r="F83" s="11"/>
    </row>
    <row r="84" spans="1:6" ht="20.100000000000001" customHeight="1">
      <c r="A84" s="8"/>
      <c r="B84" s="18" t="s">
        <v>120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204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207</v>
      </c>
      <c r="C87" s="2" t="s">
        <v>142</v>
      </c>
      <c r="D87" s="8" t="s">
        <v>39</v>
      </c>
      <c r="E87" s="208">
        <v>126000</v>
      </c>
      <c r="F87" s="11"/>
    </row>
    <row r="88" spans="1:6" ht="20.100000000000001" customHeight="1">
      <c r="A88" s="8">
        <v>2</v>
      </c>
      <c r="B88" s="9" t="s">
        <v>205</v>
      </c>
      <c r="C88" s="2" t="s">
        <v>142</v>
      </c>
      <c r="D88" s="8" t="s">
        <v>39</v>
      </c>
      <c r="E88" s="208">
        <v>126000</v>
      </c>
      <c r="F88" s="11"/>
    </row>
    <row r="89" spans="1:6" ht="20.100000000000001" customHeight="1">
      <c r="A89" s="8">
        <v>3</v>
      </c>
      <c r="B89" s="12" t="s">
        <v>164</v>
      </c>
      <c r="C89" s="2" t="s">
        <v>52</v>
      </c>
      <c r="D89" s="8" t="s">
        <v>191</v>
      </c>
      <c r="E89" s="208">
        <v>90000</v>
      </c>
      <c r="F89" s="11"/>
    </row>
    <row r="90" spans="1:6" ht="20.100000000000001" customHeight="1">
      <c r="A90" s="8">
        <v>4</v>
      </c>
      <c r="B90" s="9" t="s">
        <v>210</v>
      </c>
      <c r="C90" s="2" t="s">
        <v>46</v>
      </c>
      <c r="D90" s="8" t="s">
        <v>47</v>
      </c>
      <c r="E90" s="208">
        <v>90000</v>
      </c>
      <c r="F90" s="11"/>
    </row>
    <row r="91" spans="1:6" ht="21.6" customHeight="1">
      <c r="A91" s="8">
        <v>5</v>
      </c>
      <c r="B91" s="9" t="s">
        <v>211</v>
      </c>
      <c r="C91" s="2" t="s">
        <v>910</v>
      </c>
      <c r="D91" s="13" t="s">
        <v>575</v>
      </c>
      <c r="E91" s="208">
        <v>90000</v>
      </c>
      <c r="F91" s="11"/>
    </row>
    <row r="92" spans="1:6" ht="21.6" customHeight="1">
      <c r="A92" s="8">
        <v>6</v>
      </c>
      <c r="B92" s="9" t="s">
        <v>212</v>
      </c>
      <c r="C92" s="10" t="s">
        <v>217</v>
      </c>
      <c r="D92" s="13" t="s">
        <v>218</v>
      </c>
      <c r="E92" s="208">
        <v>90000</v>
      </c>
      <c r="F92" s="11"/>
    </row>
    <row r="93" spans="1:6" ht="21.6" customHeight="1">
      <c r="A93" s="8">
        <v>7</v>
      </c>
      <c r="B93" s="9" t="s">
        <v>213</v>
      </c>
      <c r="C93" s="10" t="s">
        <v>217</v>
      </c>
      <c r="D93" s="13" t="s">
        <v>218</v>
      </c>
      <c r="E93" s="208">
        <v>90000</v>
      </c>
      <c r="F93" s="11"/>
    </row>
    <row r="94" spans="1:6" ht="21.6" customHeight="1">
      <c r="A94" s="8">
        <v>8</v>
      </c>
      <c r="B94" s="9" t="s">
        <v>215</v>
      </c>
      <c r="C94" s="15" t="s">
        <v>72</v>
      </c>
      <c r="D94" s="13" t="s">
        <v>179</v>
      </c>
      <c r="E94" s="208">
        <v>54000</v>
      </c>
      <c r="F94" s="11"/>
    </row>
    <row r="95" spans="1:6" ht="21.6" customHeight="1">
      <c r="A95" s="8">
        <v>9</v>
      </c>
      <c r="B95" s="9" t="s">
        <v>220</v>
      </c>
      <c r="C95" s="2" t="s">
        <v>221</v>
      </c>
      <c r="D95" s="8" t="s">
        <v>81</v>
      </c>
      <c r="E95" s="208">
        <v>54000</v>
      </c>
      <c r="F95" s="11"/>
    </row>
    <row r="96" spans="1:6" ht="21.6" customHeight="1">
      <c r="A96" s="8">
        <v>10</v>
      </c>
      <c r="B96" s="9" t="s">
        <v>224</v>
      </c>
      <c r="C96" s="15" t="s">
        <v>554</v>
      </c>
      <c r="D96" s="13" t="s">
        <v>111</v>
      </c>
      <c r="E96" s="208">
        <v>54000</v>
      </c>
      <c r="F96" s="11"/>
    </row>
    <row r="97" spans="1:6" ht="20.100000000000001" customHeight="1">
      <c r="A97" s="8"/>
      <c r="B97" s="18" t="s">
        <v>120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226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891</v>
      </c>
      <c r="C100" s="8" t="s">
        <v>892</v>
      </c>
      <c r="D100" s="13" t="s">
        <v>209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37</v>
      </c>
      <c r="C101" s="2" t="s">
        <v>230</v>
      </c>
      <c r="D101" s="8" t="s">
        <v>47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235</v>
      </c>
      <c r="C102" s="2" t="s">
        <v>627</v>
      </c>
      <c r="D102" s="13" t="s">
        <v>131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1671</v>
      </c>
      <c r="C103" s="2" t="s">
        <v>1672</v>
      </c>
      <c r="D103" s="13" t="s">
        <v>105</v>
      </c>
      <c r="E103" s="208">
        <v>54000</v>
      </c>
      <c r="F103" s="11"/>
    </row>
    <row r="104" spans="1:6" ht="20.100000000000001" customHeight="1">
      <c r="A104" s="2"/>
      <c r="B104" s="18" t="s">
        <v>120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239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628</v>
      </c>
      <c r="C107" s="10" t="s">
        <v>241</v>
      </c>
      <c r="D107" s="13" t="s">
        <v>124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209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244</v>
      </c>
      <c r="C109" s="2" t="s">
        <v>629</v>
      </c>
      <c r="D109" s="8" t="s">
        <v>56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246</v>
      </c>
      <c r="C110" s="2" t="s">
        <v>629</v>
      </c>
      <c r="D110" s="8" t="s">
        <v>56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517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105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111</v>
      </c>
      <c r="E113" s="208">
        <v>54000</v>
      </c>
      <c r="F113" s="11"/>
    </row>
    <row r="114" spans="1:6" ht="20.100000000000001" customHeight="1">
      <c r="A114" s="2"/>
      <c r="B114" s="18" t="s">
        <v>120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1678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1593</v>
      </c>
      <c r="C117" s="15" t="s">
        <v>72</v>
      </c>
      <c r="D117" s="13" t="s">
        <v>70</v>
      </c>
      <c r="E117" s="208">
        <v>54000</v>
      </c>
      <c r="F117" s="11"/>
    </row>
    <row r="118" spans="1:6" ht="27" customHeight="1">
      <c r="A118" s="8">
        <v>2</v>
      </c>
      <c r="B118" s="9" t="s">
        <v>259</v>
      </c>
      <c r="C118" s="2" t="s">
        <v>260</v>
      </c>
      <c r="D118" s="13" t="s">
        <v>131</v>
      </c>
      <c r="E118" s="208">
        <v>54000</v>
      </c>
      <c r="F118" s="11"/>
    </row>
    <row r="119" spans="1:6" ht="27" customHeight="1">
      <c r="A119" s="2"/>
      <c r="B119" s="18" t="s">
        <v>120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280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281</v>
      </c>
      <c r="C122" s="10" t="s">
        <v>282</v>
      </c>
      <c r="D122" s="13" t="s">
        <v>124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283</v>
      </c>
      <c r="C123" s="10" t="s">
        <v>631</v>
      </c>
      <c r="D123" s="13" t="s">
        <v>39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285</v>
      </c>
      <c r="C124" s="10" t="s">
        <v>631</v>
      </c>
      <c r="D124" s="13" t="s">
        <v>39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913</v>
      </c>
      <c r="C125" s="10" t="s">
        <v>631</v>
      </c>
      <c r="D125" s="13" t="s">
        <v>42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288</v>
      </c>
      <c r="C126" s="10" t="s">
        <v>290</v>
      </c>
      <c r="D126" s="13" t="s">
        <v>214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289</v>
      </c>
      <c r="C127" s="10" t="s">
        <v>632</v>
      </c>
      <c r="D127" s="13" t="s">
        <v>575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291</v>
      </c>
      <c r="C128" s="10" t="s">
        <v>1531</v>
      </c>
      <c r="D128" s="13" t="s">
        <v>575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294</v>
      </c>
      <c r="C129" s="10" t="s">
        <v>633</v>
      </c>
      <c r="D129" s="8" t="s">
        <v>99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296</v>
      </c>
      <c r="C130" s="10" t="s">
        <v>297</v>
      </c>
      <c r="D130" s="13" t="s">
        <v>111</v>
      </c>
      <c r="E130" s="208">
        <v>54000</v>
      </c>
      <c r="F130" s="11"/>
    </row>
    <row r="131" spans="1:6" ht="20.100000000000001" customHeight="1">
      <c r="A131" s="2"/>
      <c r="B131" s="18" t="s">
        <v>120</v>
      </c>
      <c r="C131" s="24" t="s">
        <v>1673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301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914</v>
      </c>
      <c r="C134" s="10" t="s">
        <v>915</v>
      </c>
      <c r="D134" s="13" t="s">
        <v>124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916</v>
      </c>
      <c r="C135" s="10" t="s">
        <v>917</v>
      </c>
      <c r="D135" s="13" t="s">
        <v>36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209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918</v>
      </c>
      <c r="D137" s="13" t="s">
        <v>47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47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229</v>
      </c>
      <c r="C139" s="2" t="s">
        <v>920</v>
      </c>
      <c r="D139" s="13" t="s">
        <v>575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919</v>
      </c>
      <c r="D140" s="13" t="s">
        <v>70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919</v>
      </c>
      <c r="D141" s="13" t="s">
        <v>70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920</v>
      </c>
      <c r="D142" s="13" t="s">
        <v>70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921</v>
      </c>
      <c r="D143" s="13" t="s">
        <v>131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1533</v>
      </c>
      <c r="D144" s="13" t="s">
        <v>151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62</v>
      </c>
      <c r="C145" s="10" t="s">
        <v>921</v>
      </c>
      <c r="D145" s="13" t="s">
        <v>70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330</v>
      </c>
      <c r="D146" s="13" t="s">
        <v>151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922</v>
      </c>
      <c r="D147" s="13" t="s">
        <v>75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922</v>
      </c>
      <c r="D148" s="13" t="s">
        <v>78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922</v>
      </c>
      <c r="D149" s="13" t="s">
        <v>78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81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1517</v>
      </c>
      <c r="C151" s="10" t="s">
        <v>330</v>
      </c>
      <c r="D151" s="8" t="s">
        <v>225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637</v>
      </c>
      <c r="D152" s="13" t="s">
        <v>75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638</v>
      </c>
      <c r="D153" s="13" t="s">
        <v>99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639</v>
      </c>
      <c r="D154" s="13" t="s">
        <v>75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640</v>
      </c>
      <c r="D155" s="13" t="s">
        <v>99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348</v>
      </c>
      <c r="D156" s="13" t="s">
        <v>105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277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277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111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641</v>
      </c>
      <c r="D160" s="13" t="s">
        <v>111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361</v>
      </c>
      <c r="C161" s="10" t="s">
        <v>556</v>
      </c>
      <c r="D161" s="13" t="s">
        <v>379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364</v>
      </c>
      <c r="C162" s="10" t="s">
        <v>556</v>
      </c>
      <c r="D162" s="13" t="s">
        <v>379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642</v>
      </c>
      <c r="C163" s="10" t="s">
        <v>556</v>
      </c>
      <c r="D163" s="13" t="s">
        <v>379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365</v>
      </c>
      <c r="C164" s="10" t="s">
        <v>556</v>
      </c>
      <c r="D164" s="13" t="s">
        <v>379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366</v>
      </c>
      <c r="C165" s="10" t="s">
        <v>556</v>
      </c>
      <c r="D165" s="13" t="s">
        <v>379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367</v>
      </c>
      <c r="C166" s="10" t="s">
        <v>556</v>
      </c>
      <c r="D166" s="13" t="s">
        <v>582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369</v>
      </c>
      <c r="C167" s="10" t="s">
        <v>556</v>
      </c>
      <c r="D167" s="13" t="s">
        <v>582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370</v>
      </c>
      <c r="C168" s="10" t="s">
        <v>556</v>
      </c>
      <c r="D168" s="13" t="s">
        <v>582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371</v>
      </c>
      <c r="C169" s="10" t="s">
        <v>556</v>
      </c>
      <c r="D169" s="13" t="s">
        <v>582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372</v>
      </c>
      <c r="C170" s="10" t="s">
        <v>556</v>
      </c>
      <c r="D170" s="13" t="s">
        <v>582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359</v>
      </c>
      <c r="C171" s="10" t="s">
        <v>556</v>
      </c>
      <c r="D171" s="13" t="s">
        <v>582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373</v>
      </c>
      <c r="C172" s="10" t="s">
        <v>389</v>
      </c>
      <c r="D172" s="13" t="s">
        <v>584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375</v>
      </c>
      <c r="C173" s="10" t="s">
        <v>389</v>
      </c>
      <c r="D173" s="13" t="s">
        <v>584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376</v>
      </c>
      <c r="C174" s="10" t="s">
        <v>389</v>
      </c>
      <c r="D174" s="13" t="s">
        <v>390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378</v>
      </c>
      <c r="C175" s="10" t="s">
        <v>389</v>
      </c>
      <c r="D175" s="13" t="s">
        <v>405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380</v>
      </c>
      <c r="C176" s="10" t="s">
        <v>558</v>
      </c>
      <c r="D176" s="13" t="s">
        <v>1518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381</v>
      </c>
      <c r="C177" s="10" t="s">
        <v>558</v>
      </c>
      <c r="D177" s="13" t="s">
        <v>1518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382</v>
      </c>
      <c r="C178" s="10" t="s">
        <v>558</v>
      </c>
      <c r="D178" s="13" t="s">
        <v>1518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383</v>
      </c>
      <c r="C179" s="10" t="s">
        <v>558</v>
      </c>
      <c r="D179" s="13" t="s">
        <v>1518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384</v>
      </c>
      <c r="C180" s="10" t="s">
        <v>558</v>
      </c>
      <c r="D180" s="13" t="s">
        <v>1518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385</v>
      </c>
      <c r="C181" s="10" t="s">
        <v>558</v>
      </c>
      <c r="D181" s="13" t="s">
        <v>1518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387</v>
      </c>
      <c r="C182" s="10" t="s">
        <v>558</v>
      </c>
      <c r="D182" s="13" t="s">
        <v>1518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644</v>
      </c>
      <c r="C183" s="10" t="s">
        <v>389</v>
      </c>
      <c r="D183" s="13" t="s">
        <v>1518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388</v>
      </c>
      <c r="C184" s="10" t="s">
        <v>389</v>
      </c>
      <c r="D184" s="13" t="s">
        <v>1518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360</v>
      </c>
      <c r="C185" s="10" t="s">
        <v>558</v>
      </c>
      <c r="D185" s="13" t="s">
        <v>1534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394</v>
      </c>
      <c r="C186" s="10" t="s">
        <v>558</v>
      </c>
      <c r="D186" s="13" t="s">
        <v>585</v>
      </c>
      <c r="E186" s="208">
        <v>36000</v>
      </c>
      <c r="F186" s="11"/>
    </row>
    <row r="187" spans="1:6" ht="20.100000000000001" customHeight="1">
      <c r="A187" s="25"/>
      <c r="B187" s="6" t="s">
        <v>120</v>
      </c>
      <c r="C187" s="26" t="s">
        <v>1677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408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1124" t="s">
        <v>0</v>
      </c>
      <c r="B1" s="1124"/>
      <c r="C1" s="1124"/>
      <c r="D1" s="1124"/>
    </row>
    <row r="2" spans="1:9" ht="33.75" customHeight="1">
      <c r="A2" s="61" t="s">
        <v>1679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1099</v>
      </c>
      <c r="F4" s="22" t="s">
        <v>1035</v>
      </c>
      <c r="G4" s="65" t="s">
        <v>1680</v>
      </c>
    </row>
    <row r="5" spans="1:9" ht="20.100000000000001" customHeight="1">
      <c r="A5" s="7" t="s">
        <v>22</v>
      </c>
      <c r="B5" s="6" t="s">
        <v>23</v>
      </c>
      <c r="C5" s="6"/>
      <c r="D5" s="6"/>
      <c r="E5" s="67" t="s">
        <v>21</v>
      </c>
      <c r="F5" s="196" t="s">
        <v>21</v>
      </c>
      <c r="G5" s="67" t="s">
        <v>21</v>
      </c>
    </row>
    <row r="6" spans="1:9" ht="20.100000000000001" customHeight="1">
      <c r="A6" s="8">
        <v>1</v>
      </c>
      <c r="B6" s="9" t="s">
        <v>24</v>
      </c>
      <c r="C6" s="10" t="s">
        <v>25</v>
      </c>
      <c r="D6" s="10" t="s">
        <v>26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1576</v>
      </c>
      <c r="C7" s="2" t="s">
        <v>1659</v>
      </c>
      <c r="D7" s="8" t="s">
        <v>36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1660</v>
      </c>
      <c r="C8" s="2" t="s">
        <v>1661</v>
      </c>
      <c r="D8" s="8" t="s">
        <v>36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27</v>
      </c>
      <c r="C9" s="10" t="s">
        <v>28</v>
      </c>
      <c r="D9" s="8" t="s">
        <v>29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30</v>
      </c>
      <c r="C10" s="2" t="s">
        <v>31</v>
      </c>
      <c r="D10" s="13" t="s">
        <v>209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227</v>
      </c>
      <c r="C11" s="2" t="s">
        <v>1578</v>
      </c>
      <c r="D11" s="14" t="s">
        <v>209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32</v>
      </c>
      <c r="C12" s="15" t="s">
        <v>33</v>
      </c>
      <c r="D12" s="14" t="s">
        <v>209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302</v>
      </c>
      <c r="C13" s="2" t="s">
        <v>890</v>
      </c>
      <c r="D13" s="14" t="s">
        <v>209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34</v>
      </c>
      <c r="C14" s="10" t="s">
        <v>893</v>
      </c>
      <c r="D14" s="13" t="s">
        <v>39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185</v>
      </c>
      <c r="C15" s="10" t="s">
        <v>909</v>
      </c>
      <c r="D15" s="8" t="s">
        <v>908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1662</v>
      </c>
      <c r="C16" s="2" t="s">
        <v>1663</v>
      </c>
      <c r="D16" s="14" t="s">
        <v>47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1579</v>
      </c>
      <c r="C17" s="2" t="s">
        <v>619</v>
      </c>
      <c r="D17" s="8" t="s">
        <v>47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1664</v>
      </c>
      <c r="C18" s="2" t="s">
        <v>1665</v>
      </c>
      <c r="D18" s="8" t="s">
        <v>47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40</v>
      </c>
      <c r="C19" s="2" t="s">
        <v>619</v>
      </c>
      <c r="D19" s="13" t="s">
        <v>47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51</v>
      </c>
      <c r="C20" s="10" t="s">
        <v>61</v>
      </c>
      <c r="D20" s="13" t="s">
        <v>218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54</v>
      </c>
      <c r="C21" s="2" t="s">
        <v>55</v>
      </c>
      <c r="D21" s="13" t="s">
        <v>576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192</v>
      </c>
      <c r="C22" s="10" t="s">
        <v>912</v>
      </c>
      <c r="D22" s="13" t="s">
        <v>70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65</v>
      </c>
      <c r="C23" s="10" t="s">
        <v>177</v>
      </c>
      <c r="D23" s="13" t="s">
        <v>131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131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321</v>
      </c>
      <c r="C25" s="2" t="s">
        <v>1681</v>
      </c>
      <c r="D25" s="13" t="s">
        <v>151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1666</v>
      </c>
      <c r="C26" s="10" t="s">
        <v>104</v>
      </c>
      <c r="D26" s="13" t="s">
        <v>78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483</v>
      </c>
      <c r="C27" s="2" t="s">
        <v>94</v>
      </c>
      <c r="D27" s="8" t="s">
        <v>99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79</v>
      </c>
      <c r="C28" s="10" t="s">
        <v>94</v>
      </c>
      <c r="D28" s="13" t="s">
        <v>99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1580</v>
      </c>
      <c r="C29" s="10" t="s">
        <v>1581</v>
      </c>
      <c r="D29" s="13" t="s">
        <v>99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84</v>
      </c>
      <c r="C30" s="10" t="s">
        <v>1528</v>
      </c>
      <c r="D30" s="13" t="s">
        <v>1682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236</v>
      </c>
      <c r="C31" s="15" t="s">
        <v>1683</v>
      </c>
      <c r="D31" s="13" t="s">
        <v>105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87</v>
      </c>
      <c r="C32" s="2" t="s">
        <v>1582</v>
      </c>
      <c r="D32" s="8" t="s">
        <v>105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91</v>
      </c>
      <c r="C33" s="15" t="s">
        <v>622</v>
      </c>
      <c r="D33" s="13" t="s">
        <v>99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95</v>
      </c>
      <c r="C34" s="2" t="s">
        <v>1684</v>
      </c>
      <c r="D34" s="8" t="s">
        <v>111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1509</v>
      </c>
      <c r="C35" s="10" t="s">
        <v>104</v>
      </c>
      <c r="D35" s="13" t="s">
        <v>111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1667</v>
      </c>
      <c r="C36" s="10" t="s">
        <v>104</v>
      </c>
      <c r="D36" s="13" t="s">
        <v>111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120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121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122</v>
      </c>
      <c r="C40" s="2" t="s">
        <v>123</v>
      </c>
      <c r="D40" s="8" t="s">
        <v>124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127</v>
      </c>
      <c r="C41" s="2" t="s">
        <v>1122</v>
      </c>
      <c r="D41" s="8" t="s">
        <v>277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137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895</v>
      </c>
      <c r="C45" s="2" t="s">
        <v>896</v>
      </c>
      <c r="D45" s="8" t="s">
        <v>124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897</v>
      </c>
      <c r="C46" s="2" t="s">
        <v>44</v>
      </c>
      <c r="D46" s="8" t="s">
        <v>39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138</v>
      </c>
      <c r="C47" s="2" t="s">
        <v>142</v>
      </c>
      <c r="D47" s="8" t="s">
        <v>39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141</v>
      </c>
      <c r="C48" s="2" t="s">
        <v>142</v>
      </c>
      <c r="D48" s="8" t="s">
        <v>39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143</v>
      </c>
      <c r="C49" s="2" t="s">
        <v>142</v>
      </c>
      <c r="D49" s="8" t="s">
        <v>50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144</v>
      </c>
      <c r="C50" s="2" t="s">
        <v>46</v>
      </c>
      <c r="D50" s="8" t="s">
        <v>47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145</v>
      </c>
      <c r="C51" s="2" t="s">
        <v>52</v>
      </c>
      <c r="D51" s="14" t="s">
        <v>47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1585</v>
      </c>
      <c r="C52" s="2" t="s">
        <v>52</v>
      </c>
      <c r="D52" s="8" t="s">
        <v>214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45</v>
      </c>
      <c r="C53" s="2" t="s">
        <v>910</v>
      </c>
      <c r="D53" s="8" t="s">
        <v>575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225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898</v>
      </c>
      <c r="C55" s="2" t="s">
        <v>150</v>
      </c>
      <c r="D55" s="8" t="s">
        <v>225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155</v>
      </c>
      <c r="C56" s="2" t="s">
        <v>150</v>
      </c>
      <c r="D56" s="8" t="s">
        <v>225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120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157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899</v>
      </c>
      <c r="C60" s="10" t="s">
        <v>159</v>
      </c>
      <c r="D60" s="13" t="s">
        <v>124</v>
      </c>
      <c r="E60" s="70">
        <f>180306.81</f>
        <v>180306.81</v>
      </c>
      <c r="F60" s="197">
        <f>'[20]August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120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163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900</v>
      </c>
      <c r="C64" s="15" t="s">
        <v>901</v>
      </c>
      <c r="D64" s="8" t="s">
        <v>124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902</v>
      </c>
      <c r="C65" s="15" t="s">
        <v>903</v>
      </c>
      <c r="D65" s="13" t="s">
        <v>1516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166</v>
      </c>
      <c r="C66" s="2" t="s">
        <v>217</v>
      </c>
      <c r="D66" s="8" t="s">
        <v>575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904</v>
      </c>
      <c r="C67" s="15" t="s">
        <v>217</v>
      </c>
      <c r="D67" s="13" t="s">
        <v>218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905</v>
      </c>
      <c r="C68" s="15" t="s">
        <v>52</v>
      </c>
      <c r="D68" s="13" t="s">
        <v>47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1685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1593</v>
      </c>
      <c r="C70" s="15" t="s">
        <v>72</v>
      </c>
      <c r="D70" s="13" t="s">
        <v>70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171</v>
      </c>
      <c r="C71" s="15" t="s">
        <v>72</v>
      </c>
      <c r="D71" s="13" t="s">
        <v>179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173</v>
      </c>
      <c r="C72" s="15" t="s">
        <v>72</v>
      </c>
      <c r="D72" s="13" t="s">
        <v>179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174</v>
      </c>
      <c r="C73" s="2" t="s">
        <v>625</v>
      </c>
      <c r="D73" s="8" t="s">
        <v>131</v>
      </c>
      <c r="E73" s="70" t="e">
        <f>#REF!</f>
        <v>#REF!</v>
      </c>
      <c r="F73" s="197">
        <f>'[20]August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1668</v>
      </c>
      <c r="C74" s="15" t="s">
        <v>150</v>
      </c>
      <c r="D74" s="8" t="s">
        <v>75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82</v>
      </c>
      <c r="C75" s="15" t="s">
        <v>69</v>
      </c>
      <c r="D75" s="8" t="s">
        <v>99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68</v>
      </c>
      <c r="C76" s="15" t="s">
        <v>69</v>
      </c>
      <c r="D76" s="8" t="s">
        <v>111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120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182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183</v>
      </c>
      <c r="C80" s="2" t="s">
        <v>184</v>
      </c>
      <c r="D80" s="8" t="s">
        <v>124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906</v>
      </c>
      <c r="C81" s="2" t="s">
        <v>907</v>
      </c>
      <c r="D81" s="13" t="s">
        <v>1516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1669</v>
      </c>
      <c r="C82" s="2" t="s">
        <v>1670</v>
      </c>
      <c r="D82" s="13" t="s">
        <v>1516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189</v>
      </c>
      <c r="C83" s="2" t="s">
        <v>1529</v>
      </c>
      <c r="D83" s="13" t="s">
        <v>575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196</v>
      </c>
      <c r="C84" s="2" t="s">
        <v>181</v>
      </c>
      <c r="D84" s="8" t="s">
        <v>75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120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204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1686</v>
      </c>
      <c r="C88" s="2" t="s">
        <v>1687</v>
      </c>
      <c r="D88" s="8" t="s">
        <v>36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207</v>
      </c>
      <c r="C89" s="2" t="s">
        <v>142</v>
      </c>
      <c r="D89" s="8" t="s">
        <v>39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205</v>
      </c>
      <c r="C90" s="2" t="s">
        <v>142</v>
      </c>
      <c r="D90" s="8" t="s">
        <v>39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164</v>
      </c>
      <c r="C91" s="2" t="s">
        <v>52</v>
      </c>
      <c r="D91" s="8" t="s">
        <v>191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210</v>
      </c>
      <c r="C92" s="2" t="s">
        <v>46</v>
      </c>
      <c r="D92" s="8" t="s">
        <v>47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211</v>
      </c>
      <c r="C93" s="2" t="s">
        <v>910</v>
      </c>
      <c r="D93" s="13" t="s">
        <v>575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212</v>
      </c>
      <c r="C94" s="10" t="s">
        <v>217</v>
      </c>
      <c r="D94" s="13" t="s">
        <v>218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213</v>
      </c>
      <c r="C95" s="10" t="s">
        <v>217</v>
      </c>
      <c r="D95" s="13" t="s">
        <v>218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215</v>
      </c>
      <c r="C96" s="15" t="s">
        <v>72</v>
      </c>
      <c r="D96" s="13" t="s">
        <v>179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220</v>
      </c>
      <c r="C97" s="2" t="s">
        <v>221</v>
      </c>
      <c r="D97" s="8" t="s">
        <v>81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224</v>
      </c>
      <c r="C98" s="15" t="s">
        <v>554</v>
      </c>
      <c r="D98" s="13" t="s">
        <v>111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120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226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891</v>
      </c>
      <c r="C102" s="8" t="s">
        <v>892</v>
      </c>
      <c r="D102" s="13" t="s">
        <v>209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37</v>
      </c>
      <c r="C103" s="2" t="s">
        <v>230</v>
      </c>
      <c r="D103" s="8" t="s">
        <v>47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1688</v>
      </c>
      <c r="C104" s="2" t="s">
        <v>1689</v>
      </c>
      <c r="D104" s="13" t="s">
        <v>218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235</v>
      </c>
      <c r="C105" s="2" t="s">
        <v>627</v>
      </c>
      <c r="D105" s="13" t="s">
        <v>131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120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628</v>
      </c>
      <c r="C109" s="10" t="s">
        <v>241</v>
      </c>
      <c r="D109" s="13" t="s">
        <v>124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209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244</v>
      </c>
      <c r="C111" s="2" t="s">
        <v>629</v>
      </c>
      <c r="D111" s="8" t="s">
        <v>56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246</v>
      </c>
      <c r="C112" s="2" t="s">
        <v>629</v>
      </c>
      <c r="D112" s="8" t="s">
        <v>56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517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105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111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120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124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1690</v>
      </c>
      <c r="B120" s="9" t="s">
        <v>1691</v>
      </c>
      <c r="C120" s="10" t="s">
        <v>1692</v>
      </c>
      <c r="D120" s="13" t="s">
        <v>36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283</v>
      </c>
      <c r="C121" s="10" t="s">
        <v>631</v>
      </c>
      <c r="D121" s="13" t="s">
        <v>39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285</v>
      </c>
      <c r="C122" s="10" t="s">
        <v>631</v>
      </c>
      <c r="D122" s="13" t="s">
        <v>39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913</v>
      </c>
      <c r="C123" s="10" t="s">
        <v>631</v>
      </c>
      <c r="D123" s="13" t="s">
        <v>42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214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289</v>
      </c>
      <c r="C125" s="10" t="s">
        <v>632</v>
      </c>
      <c r="D125" s="13" t="s">
        <v>575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291</v>
      </c>
      <c r="C126" s="10" t="s">
        <v>1531</v>
      </c>
      <c r="D126" s="13" t="s">
        <v>575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1693</v>
      </c>
      <c r="C127" s="10" t="s">
        <v>1694</v>
      </c>
      <c r="D127" s="13" t="s">
        <v>59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294</v>
      </c>
      <c r="C128" s="10" t="s">
        <v>633</v>
      </c>
      <c r="D128" s="8" t="s">
        <v>99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111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120</v>
      </c>
      <c r="C130" s="24" t="s">
        <v>884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914</v>
      </c>
      <c r="C133" s="10" t="s">
        <v>915</v>
      </c>
      <c r="D133" s="13" t="s">
        <v>124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916</v>
      </c>
      <c r="C134" s="10" t="s">
        <v>917</v>
      </c>
      <c r="D134" s="13" t="s">
        <v>36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209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307</v>
      </c>
      <c r="C136" s="10" t="s">
        <v>918</v>
      </c>
      <c r="D136" s="13" t="s">
        <v>47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47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229</v>
      </c>
      <c r="C138" s="2" t="s">
        <v>920</v>
      </c>
      <c r="D138" s="13" t="s">
        <v>575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231</v>
      </c>
      <c r="C139" s="10" t="s">
        <v>919</v>
      </c>
      <c r="D139" s="13" t="s">
        <v>70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314</v>
      </c>
      <c r="C140" s="10" t="s">
        <v>919</v>
      </c>
      <c r="D140" s="13" t="s">
        <v>70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315</v>
      </c>
      <c r="C141" s="2" t="s">
        <v>920</v>
      </c>
      <c r="D141" s="13" t="s">
        <v>70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317</v>
      </c>
      <c r="C142" s="10" t="s">
        <v>921</v>
      </c>
      <c r="D142" s="13" t="s">
        <v>131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319</v>
      </c>
      <c r="C143" s="10" t="s">
        <v>1533</v>
      </c>
      <c r="D143" s="13" t="s">
        <v>151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62</v>
      </c>
      <c r="C144" s="10" t="s">
        <v>921</v>
      </c>
      <c r="D144" s="13" t="s">
        <v>70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323</v>
      </c>
      <c r="C145" s="2" t="s">
        <v>922</v>
      </c>
      <c r="D145" s="13" t="s">
        <v>75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324</v>
      </c>
      <c r="C146" s="2" t="s">
        <v>922</v>
      </c>
      <c r="D146" s="13" t="s">
        <v>78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326</v>
      </c>
      <c r="C147" s="2" t="s">
        <v>922</v>
      </c>
      <c r="D147" s="13" t="s">
        <v>78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81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1517</v>
      </c>
      <c r="C149" s="10" t="s">
        <v>330</v>
      </c>
      <c r="D149" s="8" t="s">
        <v>225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331</v>
      </c>
      <c r="C150" s="10" t="s">
        <v>637</v>
      </c>
      <c r="D150" s="13" t="s">
        <v>75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333</v>
      </c>
      <c r="C151" s="10" t="s">
        <v>638</v>
      </c>
      <c r="D151" s="13" t="s">
        <v>99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335</v>
      </c>
      <c r="C152" s="10" t="s">
        <v>639</v>
      </c>
      <c r="D152" s="13" t="s">
        <v>75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336</v>
      </c>
      <c r="C153" s="10" t="s">
        <v>640</v>
      </c>
      <c r="D153" s="13" t="s">
        <v>99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1682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1695</v>
      </c>
      <c r="C155" s="10" t="s">
        <v>346</v>
      </c>
      <c r="D155" s="13" t="s">
        <v>111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277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277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111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351</v>
      </c>
      <c r="C159" s="10" t="s">
        <v>641</v>
      </c>
      <c r="D159" s="13" t="s">
        <v>111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361</v>
      </c>
      <c r="C160" s="10" t="s">
        <v>556</v>
      </c>
      <c r="D160" s="13" t="s">
        <v>379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364</v>
      </c>
      <c r="C161" s="10" t="s">
        <v>556</v>
      </c>
      <c r="D161" s="13" t="s">
        <v>379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642</v>
      </c>
      <c r="C162" s="10" t="s">
        <v>556</v>
      </c>
      <c r="D162" s="13" t="s">
        <v>379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1242</v>
      </c>
      <c r="C163" s="10" t="s">
        <v>556</v>
      </c>
      <c r="D163" s="13" t="s">
        <v>379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365</v>
      </c>
      <c r="C164" s="10" t="s">
        <v>556</v>
      </c>
      <c r="D164" s="13" t="s">
        <v>379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366</v>
      </c>
      <c r="C165" s="10" t="s">
        <v>556</v>
      </c>
      <c r="D165" s="13" t="s">
        <v>379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367</v>
      </c>
      <c r="C166" s="10" t="s">
        <v>556</v>
      </c>
      <c r="D166" s="13" t="s">
        <v>582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369</v>
      </c>
      <c r="C167" s="10" t="s">
        <v>556</v>
      </c>
      <c r="D167" s="13" t="s">
        <v>582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1674</v>
      </c>
      <c r="C168" s="10" t="s">
        <v>556</v>
      </c>
      <c r="D168" s="13" t="s">
        <v>582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370</v>
      </c>
      <c r="C169" s="10" t="s">
        <v>556</v>
      </c>
      <c r="D169" s="13" t="s">
        <v>582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371</v>
      </c>
      <c r="C170" s="10" t="s">
        <v>556</v>
      </c>
      <c r="D170" s="13" t="s">
        <v>582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372</v>
      </c>
      <c r="C171" s="10" t="s">
        <v>556</v>
      </c>
      <c r="D171" s="13" t="s">
        <v>582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359</v>
      </c>
      <c r="C172" s="10" t="s">
        <v>556</v>
      </c>
      <c r="D172" s="13" t="s">
        <v>582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373</v>
      </c>
      <c r="C173" s="10" t="s">
        <v>389</v>
      </c>
      <c r="D173" s="13" t="s">
        <v>584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375</v>
      </c>
      <c r="C174" s="10" t="s">
        <v>389</v>
      </c>
      <c r="D174" s="13" t="s">
        <v>584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376</v>
      </c>
      <c r="C175" s="10" t="s">
        <v>389</v>
      </c>
      <c r="D175" s="13" t="s">
        <v>390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378</v>
      </c>
      <c r="C176" s="10" t="s">
        <v>389</v>
      </c>
      <c r="D176" s="13" t="s">
        <v>405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380</v>
      </c>
      <c r="C177" s="10" t="s">
        <v>558</v>
      </c>
      <c r="D177" s="13" t="s">
        <v>1518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381</v>
      </c>
      <c r="C178" s="10" t="s">
        <v>558</v>
      </c>
      <c r="D178" s="13" t="s">
        <v>1518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382</v>
      </c>
      <c r="C179" s="10" t="s">
        <v>558</v>
      </c>
      <c r="D179" s="13" t="s">
        <v>1518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383</v>
      </c>
      <c r="C180" s="10" t="s">
        <v>558</v>
      </c>
      <c r="D180" s="13" t="s">
        <v>1518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384</v>
      </c>
      <c r="C181" s="10" t="s">
        <v>558</v>
      </c>
      <c r="D181" s="13" t="s">
        <v>1518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385</v>
      </c>
      <c r="C182" s="10" t="s">
        <v>558</v>
      </c>
      <c r="D182" s="13" t="s">
        <v>1518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387</v>
      </c>
      <c r="C183" s="10" t="s">
        <v>558</v>
      </c>
      <c r="D183" s="13" t="s">
        <v>1518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644</v>
      </c>
      <c r="C184" s="10" t="s">
        <v>389</v>
      </c>
      <c r="D184" s="13" t="s">
        <v>1518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388</v>
      </c>
      <c r="C185" s="10" t="s">
        <v>389</v>
      </c>
      <c r="D185" s="13" t="s">
        <v>1518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360</v>
      </c>
      <c r="C186" s="10" t="s">
        <v>558</v>
      </c>
      <c r="D186" s="13" t="s">
        <v>1534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394</v>
      </c>
      <c r="C187" s="10" t="s">
        <v>558</v>
      </c>
      <c r="D187" s="13" t="s">
        <v>585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120</v>
      </c>
      <c r="C188" s="26" t="s">
        <v>1675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408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1124" t="s">
        <v>0</v>
      </c>
      <c r="B1" s="1124"/>
      <c r="C1" s="1124"/>
      <c r="D1" s="1124"/>
      <c r="E1" s="1124"/>
    </row>
    <row r="2" spans="1:9" ht="33.75" customHeight="1">
      <c r="A2" s="61" t="s">
        <v>1679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1696</v>
      </c>
      <c r="G4" s="184" t="s">
        <v>571</v>
      </c>
      <c r="H4" s="22" t="s">
        <v>1101</v>
      </c>
    </row>
    <row r="5" spans="1:9" ht="20.100000000000001" customHeight="1">
      <c r="A5" s="7" t="s">
        <v>22</v>
      </c>
      <c r="B5" s="6" t="s">
        <v>23</v>
      </c>
      <c r="C5" s="6"/>
      <c r="D5" s="6"/>
      <c r="E5" s="67" t="s">
        <v>21</v>
      </c>
      <c r="F5" s="67" t="s">
        <v>21</v>
      </c>
      <c r="G5" s="67" t="s">
        <v>21</v>
      </c>
      <c r="H5" s="67" t="s">
        <v>21</v>
      </c>
    </row>
    <row r="6" spans="1:9" ht="20.100000000000001" customHeight="1">
      <c r="A6" s="8">
        <v>1</v>
      </c>
      <c r="B6" s="9" t="s">
        <v>24</v>
      </c>
      <c r="C6" s="10" t="s">
        <v>25</v>
      </c>
      <c r="D6" s="10" t="s">
        <v>26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1576</v>
      </c>
      <c r="C7" s="2" t="s">
        <v>1659</v>
      </c>
      <c r="D7" s="8" t="s">
        <v>36</v>
      </c>
      <c r="E7" s="70">
        <f>42653.17</f>
        <v>42653.17</v>
      </c>
      <c r="F7" s="70">
        <f>0.025*E7</f>
        <v>1066.32925</v>
      </c>
      <c r="G7" s="70">
        <f>'[21]April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1660</v>
      </c>
      <c r="C8" s="2" t="s">
        <v>1661</v>
      </c>
      <c r="D8" s="8" t="s">
        <v>36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27</v>
      </c>
      <c r="C9" s="10" t="s">
        <v>28</v>
      </c>
      <c r="D9" s="8" t="s">
        <v>29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30</v>
      </c>
      <c r="C10" s="2" t="s">
        <v>31</v>
      </c>
      <c r="D10" s="13" t="s">
        <v>209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227</v>
      </c>
      <c r="C11" s="2" t="s">
        <v>1578</v>
      </c>
      <c r="D11" s="14" t="s">
        <v>209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32</v>
      </c>
      <c r="C12" s="15" t="s">
        <v>33</v>
      </c>
      <c r="D12" s="14" t="s">
        <v>209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302</v>
      </c>
      <c r="C13" s="2" t="s">
        <v>890</v>
      </c>
      <c r="D13" s="14" t="s">
        <v>209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34</v>
      </c>
      <c r="C14" s="10" t="s">
        <v>893</v>
      </c>
      <c r="D14" s="13" t="s">
        <v>39</v>
      </c>
      <c r="E14" s="70">
        <v>33507.5</v>
      </c>
      <c r="F14" s="70">
        <f>0.025*E14</f>
        <v>837.6875</v>
      </c>
      <c r="G14" s="70">
        <f>'[21]April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185</v>
      </c>
      <c r="C15" s="10" t="s">
        <v>909</v>
      </c>
      <c r="D15" s="8" t="s">
        <v>908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1662</v>
      </c>
      <c r="C16" s="2" t="s">
        <v>1663</v>
      </c>
      <c r="D16" s="14" t="s">
        <v>47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1579</v>
      </c>
      <c r="C17" s="2" t="s">
        <v>619</v>
      </c>
      <c r="D17" s="8" t="s">
        <v>47</v>
      </c>
      <c r="E17" s="70">
        <v>27611.23</v>
      </c>
      <c r="F17" s="70">
        <f>0.025*E17</f>
        <v>690.28075000000001</v>
      </c>
      <c r="G17" s="70">
        <f>'[21]April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1664</v>
      </c>
      <c r="C18" s="2" t="s">
        <v>1665</v>
      </c>
      <c r="D18" s="8" t="s">
        <v>47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40</v>
      </c>
      <c r="C19" s="2" t="s">
        <v>619</v>
      </c>
      <c r="D19" s="13" t="s">
        <v>47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51</v>
      </c>
      <c r="C20" s="10" t="s">
        <v>61</v>
      </c>
      <c r="D20" s="13" t="s">
        <v>218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54</v>
      </c>
      <c r="C21" s="2" t="s">
        <v>55</v>
      </c>
      <c r="D21" s="13" t="s">
        <v>576</v>
      </c>
      <c r="E21" s="70">
        <f>23891.12</f>
        <v>23891.119999999999</v>
      </c>
      <c r="F21" s="70">
        <f>0.025*E21</f>
        <v>597.27800000000002</v>
      </c>
      <c r="G21" s="70">
        <f>'[21]April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192</v>
      </c>
      <c r="C22" s="10" t="s">
        <v>912</v>
      </c>
      <c r="D22" s="13" t="s">
        <v>70</v>
      </c>
      <c r="E22" s="70">
        <f>22837.82</f>
        <v>22837.82</v>
      </c>
      <c r="F22" s="70">
        <f>0.025*E22</f>
        <v>570.94550000000004</v>
      </c>
      <c r="G22" s="70">
        <f>'[21]April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65</v>
      </c>
      <c r="C23" s="10" t="s">
        <v>177</v>
      </c>
      <c r="D23" s="13" t="s">
        <v>131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131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321</v>
      </c>
      <c r="C25" s="2" t="s">
        <v>1681</v>
      </c>
      <c r="D25" s="13" t="s">
        <v>151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1666</v>
      </c>
      <c r="C26" s="10" t="s">
        <v>104</v>
      </c>
      <c r="D26" s="13" t="s">
        <v>78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483</v>
      </c>
      <c r="C27" s="2" t="s">
        <v>94</v>
      </c>
      <c r="D27" s="8" t="s">
        <v>99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79</v>
      </c>
      <c r="C28" s="10" t="s">
        <v>94</v>
      </c>
      <c r="D28" s="13" t="s">
        <v>99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1580</v>
      </c>
      <c r="C29" s="10" t="s">
        <v>1581</v>
      </c>
      <c r="D29" s="13" t="s">
        <v>99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84</v>
      </c>
      <c r="C30" s="10" t="s">
        <v>1528</v>
      </c>
      <c r="D30" s="13" t="s">
        <v>1682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236</v>
      </c>
      <c r="C31" s="15" t="s">
        <v>1683</v>
      </c>
      <c r="D31" s="13" t="s">
        <v>105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87</v>
      </c>
      <c r="C32" s="2" t="s">
        <v>1582</v>
      </c>
      <c r="D32" s="8" t="s">
        <v>105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91</v>
      </c>
      <c r="C33" s="15" t="s">
        <v>622</v>
      </c>
      <c r="D33" s="13" t="s">
        <v>99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95</v>
      </c>
      <c r="C34" s="2" t="s">
        <v>1684</v>
      </c>
      <c r="D34" s="8" t="s">
        <v>111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1509</v>
      </c>
      <c r="C35" s="10" t="s">
        <v>104</v>
      </c>
      <c r="D35" s="13" t="s">
        <v>111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1667</v>
      </c>
      <c r="C36" s="10" t="s">
        <v>104</v>
      </c>
      <c r="D36" s="13" t="s">
        <v>111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120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121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122</v>
      </c>
      <c r="C40" s="2" t="s">
        <v>123</v>
      </c>
      <c r="D40" s="8" t="s">
        <v>124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127</v>
      </c>
      <c r="C41" s="2" t="s">
        <v>1122</v>
      </c>
      <c r="D41" s="8" t="s">
        <v>277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137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895</v>
      </c>
      <c r="C45" s="2" t="s">
        <v>896</v>
      </c>
      <c r="D45" s="8" t="s">
        <v>124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897</v>
      </c>
      <c r="C46" s="2" t="s">
        <v>44</v>
      </c>
      <c r="D46" s="8" t="s">
        <v>39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138</v>
      </c>
      <c r="C47" s="2" t="s">
        <v>142</v>
      </c>
      <c r="D47" s="8" t="s">
        <v>39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141</v>
      </c>
      <c r="C48" s="2" t="s">
        <v>142</v>
      </c>
      <c r="D48" s="8" t="s">
        <v>39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143</v>
      </c>
      <c r="C49" s="2" t="s">
        <v>142</v>
      </c>
      <c r="D49" s="8" t="s">
        <v>50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144</v>
      </c>
      <c r="C50" s="2" t="s">
        <v>46</v>
      </c>
      <c r="D50" s="8" t="s">
        <v>47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145</v>
      </c>
      <c r="C51" s="2" t="s">
        <v>52</v>
      </c>
      <c r="D51" s="14" t="s">
        <v>47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1585</v>
      </c>
      <c r="C52" s="2" t="s">
        <v>52</v>
      </c>
      <c r="D52" s="8" t="s">
        <v>214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45</v>
      </c>
      <c r="C53" s="2" t="s">
        <v>910</v>
      </c>
      <c r="D53" s="8" t="s">
        <v>575</v>
      </c>
      <c r="E53" s="70">
        <v>25523.45</v>
      </c>
      <c r="F53" s="70">
        <f>0.025*E53</f>
        <v>638.08624999999995</v>
      </c>
      <c r="G53" s="70">
        <f>'[21]April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225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898</v>
      </c>
      <c r="C55" s="2" t="s">
        <v>150</v>
      </c>
      <c r="D55" s="8" t="s">
        <v>225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155</v>
      </c>
      <c r="C56" s="2" t="s">
        <v>150</v>
      </c>
      <c r="D56" s="8" t="s">
        <v>225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120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157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899</v>
      </c>
      <c r="C60" s="10" t="s">
        <v>159</v>
      </c>
      <c r="D60" s="13" t="s">
        <v>124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120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163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900</v>
      </c>
      <c r="C64" s="15" t="s">
        <v>901</v>
      </c>
      <c r="D64" s="8" t="s">
        <v>124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902</v>
      </c>
      <c r="C65" s="15" t="s">
        <v>903</v>
      </c>
      <c r="D65" s="13" t="s">
        <v>1516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166</v>
      </c>
      <c r="C66" s="2" t="s">
        <v>217</v>
      </c>
      <c r="D66" s="8" t="s">
        <v>575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904</v>
      </c>
      <c r="C67" s="15" t="s">
        <v>217</v>
      </c>
      <c r="D67" s="13" t="s">
        <v>218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905</v>
      </c>
      <c r="C68" s="15" t="s">
        <v>52</v>
      </c>
      <c r="D68" s="13" t="s">
        <v>47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1685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1593</v>
      </c>
      <c r="C70" s="15" t="s">
        <v>72</v>
      </c>
      <c r="D70" s="13" t="s">
        <v>70</v>
      </c>
      <c r="E70" s="70">
        <f>22837.82</f>
        <v>22837.82</v>
      </c>
      <c r="F70" s="70">
        <f>0.025*E70</f>
        <v>570.94550000000004</v>
      </c>
      <c r="G70" s="70">
        <f>'[21]April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171</v>
      </c>
      <c r="C71" s="15" t="s">
        <v>72</v>
      </c>
      <c r="D71" s="13" t="s">
        <v>179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173</v>
      </c>
      <c r="C72" s="15" t="s">
        <v>72</v>
      </c>
      <c r="D72" s="13" t="s">
        <v>179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174</v>
      </c>
      <c r="C73" s="2" t="s">
        <v>625</v>
      </c>
      <c r="D73" s="8" t="s">
        <v>131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1668</v>
      </c>
      <c r="C74" s="15" t="s">
        <v>150</v>
      </c>
      <c r="D74" s="8" t="s">
        <v>75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82</v>
      </c>
      <c r="C75" s="15" t="s">
        <v>69</v>
      </c>
      <c r="D75" s="8" t="s">
        <v>99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68</v>
      </c>
      <c r="C76" s="15" t="s">
        <v>69</v>
      </c>
      <c r="D76" s="8" t="s">
        <v>111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120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182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183</v>
      </c>
      <c r="C80" s="2" t="s">
        <v>184</v>
      </c>
      <c r="D80" s="8" t="s">
        <v>124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906</v>
      </c>
      <c r="C81" s="2" t="s">
        <v>907</v>
      </c>
      <c r="D81" s="13" t="s">
        <v>1516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1669</v>
      </c>
      <c r="C82" s="2" t="s">
        <v>1670</v>
      </c>
      <c r="D82" s="13" t="s">
        <v>1516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189</v>
      </c>
      <c r="C83" s="2" t="s">
        <v>1529</v>
      </c>
      <c r="D83" s="13" t="s">
        <v>575</v>
      </c>
      <c r="E83" s="70">
        <v>25523.45</v>
      </c>
      <c r="F83" s="70">
        <f>0.025*E83</f>
        <v>638.08624999999995</v>
      </c>
      <c r="G83" s="70">
        <f>'[21]April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196</v>
      </c>
      <c r="C84" s="2" t="s">
        <v>181</v>
      </c>
      <c r="D84" s="8" t="s">
        <v>75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120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204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1686</v>
      </c>
      <c r="C88" s="2" t="s">
        <v>1687</v>
      </c>
      <c r="D88" s="8" t="s">
        <v>36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207</v>
      </c>
      <c r="C89" s="2" t="s">
        <v>142</v>
      </c>
      <c r="D89" s="8" t="s">
        <v>39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205</v>
      </c>
      <c r="C90" s="2" t="s">
        <v>142</v>
      </c>
      <c r="D90" s="8" t="s">
        <v>39</v>
      </c>
      <c r="E90" s="70">
        <v>33507.5</v>
      </c>
      <c r="F90" s="70">
        <f>0.025*E90</f>
        <v>837.6875</v>
      </c>
      <c r="G90" s="70">
        <f>'[21]April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164</v>
      </c>
      <c r="C91" s="2" t="s">
        <v>52</v>
      </c>
      <c r="D91" s="8" t="s">
        <v>191</v>
      </c>
      <c r="E91" s="70">
        <f>28489.81</f>
        <v>28489.81</v>
      </c>
      <c r="F91" s="70">
        <f>0.025*E91</f>
        <v>712.24525000000006</v>
      </c>
      <c r="G91" s="70">
        <f>'[21]April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210</v>
      </c>
      <c r="C92" s="2" t="s">
        <v>46</v>
      </c>
      <c r="D92" s="8" t="s">
        <v>47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211</v>
      </c>
      <c r="C93" s="2" t="s">
        <v>910</v>
      </c>
      <c r="D93" s="13" t="s">
        <v>575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212</v>
      </c>
      <c r="C94" s="10" t="s">
        <v>217</v>
      </c>
      <c r="D94" s="13" t="s">
        <v>218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213</v>
      </c>
      <c r="C95" s="10" t="s">
        <v>217</v>
      </c>
      <c r="D95" s="13" t="s">
        <v>218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215</v>
      </c>
      <c r="C96" s="15" t="s">
        <v>72</v>
      </c>
      <c r="D96" s="13" t="s">
        <v>179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220</v>
      </c>
      <c r="C97" s="2" t="s">
        <v>221</v>
      </c>
      <c r="D97" s="8" t="s">
        <v>81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224</v>
      </c>
      <c r="C98" s="15" t="s">
        <v>554</v>
      </c>
      <c r="D98" s="13" t="s">
        <v>111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120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226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891</v>
      </c>
      <c r="C102" s="8" t="s">
        <v>892</v>
      </c>
      <c r="D102" s="13" t="s">
        <v>209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37</v>
      </c>
      <c r="C103" s="2" t="s">
        <v>230</v>
      </c>
      <c r="D103" s="8" t="s">
        <v>47</v>
      </c>
      <c r="E103" s="70">
        <v>27611.23</v>
      </c>
      <c r="F103" s="70">
        <f>0.025*E103</f>
        <v>690.28075000000001</v>
      </c>
      <c r="G103" s="70">
        <f>'[21]April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1688</v>
      </c>
      <c r="C104" s="2" t="s">
        <v>1689</v>
      </c>
      <c r="D104" s="13" t="s">
        <v>218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235</v>
      </c>
      <c r="C105" s="2" t="s">
        <v>627</v>
      </c>
      <c r="D105" s="13" t="s">
        <v>131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120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628</v>
      </c>
      <c r="C109" s="10" t="s">
        <v>241</v>
      </c>
      <c r="D109" s="13" t="s">
        <v>124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209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244</v>
      </c>
      <c r="C111" s="2" t="s">
        <v>629</v>
      </c>
      <c r="D111" s="8" t="s">
        <v>56</v>
      </c>
      <c r="E111" s="70">
        <v>26339.3</v>
      </c>
      <c r="F111" s="70">
        <f>0.025*E111</f>
        <v>658.48249999999996</v>
      </c>
      <c r="G111" s="70">
        <f>'[21]April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246</v>
      </c>
      <c r="C112" s="2" t="s">
        <v>629</v>
      </c>
      <c r="D112" s="8" t="s">
        <v>56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517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105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111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120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124</v>
      </c>
      <c r="E119" s="70">
        <v>81740.02</v>
      </c>
      <c r="F119" s="70">
        <f>0.025*E119</f>
        <v>2043.5005000000001</v>
      </c>
      <c r="G119" s="70">
        <f>'[21]April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1690</v>
      </c>
      <c r="B120" s="9" t="s">
        <v>1691</v>
      </c>
      <c r="C120" s="10" t="s">
        <v>1692</v>
      </c>
      <c r="D120" s="13" t="s">
        <v>36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283</v>
      </c>
      <c r="C121" s="10" t="s">
        <v>631</v>
      </c>
      <c r="D121" s="13" t="s">
        <v>39</v>
      </c>
      <c r="E121" s="70">
        <v>33507.5</v>
      </c>
      <c r="F121" s="70">
        <f>0.025*E121</f>
        <v>837.6875</v>
      </c>
      <c r="G121" s="70">
        <f>'[21]April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285</v>
      </c>
      <c r="C122" s="10" t="s">
        <v>631</v>
      </c>
      <c r="D122" s="13" t="s">
        <v>39</v>
      </c>
      <c r="E122" s="70">
        <v>33507.5</v>
      </c>
      <c r="F122" s="70">
        <f>0.025*E122</f>
        <v>837.6875</v>
      </c>
      <c r="G122" s="70">
        <f>'[21]April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913</v>
      </c>
      <c r="C123" s="10" t="s">
        <v>631</v>
      </c>
      <c r="D123" s="13" t="s">
        <v>42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214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289</v>
      </c>
      <c r="C125" s="10" t="s">
        <v>632</v>
      </c>
      <c r="D125" s="13" t="s">
        <v>575</v>
      </c>
      <c r="E125" s="70">
        <v>25523.45</v>
      </c>
      <c r="F125" s="70">
        <f>0.025*E125</f>
        <v>638.08624999999995</v>
      </c>
      <c r="G125" s="70">
        <f>'[21]April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291</v>
      </c>
      <c r="C126" s="10" t="s">
        <v>1531</v>
      </c>
      <c r="D126" s="13" t="s">
        <v>575</v>
      </c>
      <c r="E126" s="70">
        <v>25523.45</v>
      </c>
      <c r="F126" s="70">
        <f>0.025*E126</f>
        <v>638.08624999999995</v>
      </c>
      <c r="G126" s="70">
        <f>'[21]April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1693</v>
      </c>
      <c r="C127" s="10" t="s">
        <v>1694</v>
      </c>
      <c r="D127" s="13" t="s">
        <v>59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294</v>
      </c>
      <c r="C128" s="10" t="s">
        <v>633</v>
      </c>
      <c r="D128" s="8" t="s">
        <v>99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111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120</v>
      </c>
      <c r="C130" s="24" t="s">
        <v>884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914</v>
      </c>
      <c r="C133" s="10" t="s">
        <v>915</v>
      </c>
      <c r="D133" s="13" t="s">
        <v>124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916</v>
      </c>
      <c r="C134" s="10" t="s">
        <v>917</v>
      </c>
      <c r="D134" s="13" t="s">
        <v>36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209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307</v>
      </c>
      <c r="C136" s="10" t="s">
        <v>918</v>
      </c>
      <c r="D136" s="13" t="s">
        <v>47</v>
      </c>
      <c r="E136" s="70">
        <v>27611.23</v>
      </c>
      <c r="F136" s="70">
        <f>0.025*E136</f>
        <v>690.28075000000001</v>
      </c>
      <c r="G136" s="70">
        <f>'[21]April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47</v>
      </c>
      <c r="E137" s="70">
        <v>27611.23</v>
      </c>
      <c r="F137" s="70">
        <f>0.025*E137</f>
        <v>690.28075000000001</v>
      </c>
      <c r="G137" s="70">
        <f>'[21]April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229</v>
      </c>
      <c r="C138" s="2" t="s">
        <v>920</v>
      </c>
      <c r="D138" s="13" t="s">
        <v>575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231</v>
      </c>
      <c r="C139" s="10" t="s">
        <v>919</v>
      </c>
      <c r="D139" s="13" t="s">
        <v>70</v>
      </c>
      <c r="E139" s="70">
        <f>22837.82</f>
        <v>22837.82</v>
      </c>
      <c r="F139" s="70">
        <f>0.025*E139</f>
        <v>570.94550000000004</v>
      </c>
      <c r="G139" s="70">
        <f>'[21]April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314</v>
      </c>
      <c r="C140" s="10" t="s">
        <v>919</v>
      </c>
      <c r="D140" s="13" t="s">
        <v>70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315</v>
      </c>
      <c r="C141" s="2" t="s">
        <v>920</v>
      </c>
      <c r="D141" s="13" t="s">
        <v>70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317</v>
      </c>
      <c r="C142" s="10" t="s">
        <v>921</v>
      </c>
      <c r="D142" s="13" t="s">
        <v>131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319</v>
      </c>
      <c r="C143" s="10" t="s">
        <v>1533</v>
      </c>
      <c r="D143" s="13" t="s">
        <v>151</v>
      </c>
      <c r="E143" s="186">
        <v>18779.3</v>
      </c>
      <c r="F143" s="70">
        <f>0.025*E143</f>
        <v>469.48250000000002</v>
      </c>
      <c r="G143" s="70">
        <f>'[21]April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62</v>
      </c>
      <c r="C144" s="10" t="s">
        <v>921</v>
      </c>
      <c r="D144" s="13" t="s">
        <v>70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323</v>
      </c>
      <c r="C145" s="2" t="s">
        <v>922</v>
      </c>
      <c r="D145" s="13" t="s">
        <v>75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324</v>
      </c>
      <c r="C146" s="2" t="s">
        <v>922</v>
      </c>
      <c r="D146" s="13" t="s">
        <v>78</v>
      </c>
      <c r="E146" s="186">
        <v>18281.64</v>
      </c>
      <c r="F146" s="70">
        <f>0.025*E146</f>
        <v>457.041</v>
      </c>
      <c r="G146" s="70">
        <f>'[21]April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326</v>
      </c>
      <c r="C147" s="2" t="s">
        <v>922</v>
      </c>
      <c r="D147" s="13" t="s">
        <v>78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81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1517</v>
      </c>
      <c r="C149" s="10" t="s">
        <v>330</v>
      </c>
      <c r="D149" s="8" t="s">
        <v>225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331</v>
      </c>
      <c r="C150" s="10" t="s">
        <v>637</v>
      </c>
      <c r="D150" s="13" t="s">
        <v>75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333</v>
      </c>
      <c r="C151" s="10" t="s">
        <v>638</v>
      </c>
      <c r="D151" s="13" t="s">
        <v>99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335</v>
      </c>
      <c r="C152" s="10" t="s">
        <v>639</v>
      </c>
      <c r="D152" s="13" t="s">
        <v>75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336</v>
      </c>
      <c r="C153" s="10" t="s">
        <v>640</v>
      </c>
      <c r="D153" s="13" t="s">
        <v>99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1682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1695</v>
      </c>
      <c r="C155" s="10" t="s">
        <v>346</v>
      </c>
      <c r="D155" s="13" t="s">
        <v>111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277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277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111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351</v>
      </c>
      <c r="C159" s="10" t="s">
        <v>641</v>
      </c>
      <c r="D159" s="13" t="s">
        <v>111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361</v>
      </c>
      <c r="C160" s="10" t="s">
        <v>556</v>
      </c>
      <c r="D160" s="13" t="s">
        <v>379</v>
      </c>
      <c r="E160" s="192">
        <f>10527.6</f>
        <v>10527.6</v>
      </c>
      <c r="F160" s="70">
        <f>0.025*E160</f>
        <v>263.19</v>
      </c>
      <c r="G160" s="70">
        <f>'[21]April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364</v>
      </c>
      <c r="C161" s="10" t="s">
        <v>556</v>
      </c>
      <c r="D161" s="13" t="s">
        <v>379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642</v>
      </c>
      <c r="C162" s="10" t="s">
        <v>556</v>
      </c>
      <c r="D162" s="13" t="s">
        <v>379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1242</v>
      </c>
      <c r="C163" s="10" t="s">
        <v>556</v>
      </c>
      <c r="D163" s="13" t="s">
        <v>379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365</v>
      </c>
      <c r="C164" s="10" t="s">
        <v>556</v>
      </c>
      <c r="D164" s="13" t="s">
        <v>379</v>
      </c>
      <c r="E164" s="192">
        <f t="shared" si="16"/>
        <v>10527.6</v>
      </c>
      <c r="F164" s="70">
        <v>263.19</v>
      </c>
      <c r="G164" s="70">
        <f>'[21]April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366</v>
      </c>
      <c r="C165" s="10" t="s">
        <v>556</v>
      </c>
      <c r="D165" s="13" t="s">
        <v>379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367</v>
      </c>
      <c r="C166" s="10" t="s">
        <v>556</v>
      </c>
      <c r="D166" s="13" t="s">
        <v>582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369</v>
      </c>
      <c r="C167" s="10" t="s">
        <v>556</v>
      </c>
      <c r="D167" s="13" t="s">
        <v>582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1674</v>
      </c>
      <c r="C168" s="10" t="s">
        <v>556</v>
      </c>
      <c r="D168" s="13" t="s">
        <v>582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370</v>
      </c>
      <c r="C169" s="10" t="s">
        <v>556</v>
      </c>
      <c r="D169" s="13" t="s">
        <v>582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371</v>
      </c>
      <c r="C170" s="10" t="s">
        <v>556</v>
      </c>
      <c r="D170" s="13" t="s">
        <v>582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372</v>
      </c>
      <c r="C171" s="10" t="s">
        <v>556</v>
      </c>
      <c r="D171" s="13" t="s">
        <v>582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359</v>
      </c>
      <c r="C172" s="10" t="s">
        <v>556</v>
      </c>
      <c r="D172" s="13" t="s">
        <v>582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373</v>
      </c>
      <c r="C173" s="10" t="s">
        <v>389</v>
      </c>
      <c r="D173" s="13" t="s">
        <v>584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375</v>
      </c>
      <c r="C174" s="10" t="s">
        <v>389</v>
      </c>
      <c r="D174" s="13" t="s">
        <v>584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376</v>
      </c>
      <c r="C175" s="10" t="s">
        <v>389</v>
      </c>
      <c r="D175" s="13" t="s">
        <v>390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378</v>
      </c>
      <c r="C176" s="10" t="s">
        <v>389</v>
      </c>
      <c r="D176" s="13" t="s">
        <v>405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380</v>
      </c>
      <c r="C177" s="10" t="s">
        <v>558</v>
      </c>
      <c r="D177" s="13" t="s">
        <v>1518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381</v>
      </c>
      <c r="C178" s="10" t="s">
        <v>558</v>
      </c>
      <c r="D178" s="13" t="s">
        <v>1518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382</v>
      </c>
      <c r="C179" s="10" t="s">
        <v>558</v>
      </c>
      <c r="D179" s="13" t="s">
        <v>1518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383</v>
      </c>
      <c r="C180" s="10" t="s">
        <v>558</v>
      </c>
      <c r="D180" s="13" t="s">
        <v>1518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384</v>
      </c>
      <c r="C181" s="10" t="s">
        <v>558</v>
      </c>
      <c r="D181" s="13" t="s">
        <v>1518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385</v>
      </c>
      <c r="C182" s="10" t="s">
        <v>558</v>
      </c>
      <c r="D182" s="13" t="s">
        <v>1518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387</v>
      </c>
      <c r="C183" s="10" t="s">
        <v>558</v>
      </c>
      <c r="D183" s="13" t="s">
        <v>1518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644</v>
      </c>
      <c r="C184" s="10" t="s">
        <v>389</v>
      </c>
      <c r="D184" s="13" t="s">
        <v>1518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388</v>
      </c>
      <c r="C185" s="10" t="s">
        <v>389</v>
      </c>
      <c r="D185" s="13" t="s">
        <v>1518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360</v>
      </c>
      <c r="C186" s="10" t="s">
        <v>558</v>
      </c>
      <c r="D186" s="13" t="s">
        <v>1534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394</v>
      </c>
      <c r="C187" s="10" t="s">
        <v>558</v>
      </c>
      <c r="D187" s="13" t="s">
        <v>585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120</v>
      </c>
      <c r="C188" s="26" t="s">
        <v>1675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408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467</v>
      </c>
    </row>
    <row r="3" spans="1:28">
      <c r="A3" s="180" t="s">
        <v>1697</v>
      </c>
    </row>
    <row r="4" spans="1:28" ht="90" customHeight="1">
      <c r="A4" s="181" t="s">
        <v>469</v>
      </c>
      <c r="B4" s="181" t="s">
        <v>470</v>
      </c>
      <c r="C4" s="181" t="s">
        <v>667</v>
      </c>
      <c r="D4" s="181" t="s">
        <v>471</v>
      </c>
      <c r="E4" s="181" t="s">
        <v>472</v>
      </c>
      <c r="F4" s="181" t="s">
        <v>474</v>
      </c>
      <c r="G4" s="181" t="s">
        <v>475</v>
      </c>
      <c r="H4" s="181" t="s">
        <v>476</v>
      </c>
      <c r="I4" s="181" t="s">
        <v>668</v>
      </c>
      <c r="J4" s="181"/>
      <c r="K4" s="181"/>
      <c r="L4" s="181"/>
      <c r="M4" s="181" t="s">
        <v>669</v>
      </c>
      <c r="N4" s="181" t="s">
        <v>477</v>
      </c>
      <c r="O4" s="181" t="s">
        <v>478</v>
      </c>
      <c r="P4" s="181" t="s">
        <v>670</v>
      </c>
      <c r="Q4" s="181" t="s">
        <v>671</v>
      </c>
      <c r="R4" s="181" t="s">
        <v>672</v>
      </c>
      <c r="S4" s="181" t="s">
        <v>673</v>
      </c>
      <c r="T4" s="181" t="s">
        <v>674</v>
      </c>
      <c r="U4" s="181" t="s">
        <v>675</v>
      </c>
      <c r="V4" s="181" t="s">
        <v>479</v>
      </c>
      <c r="W4" s="181"/>
      <c r="X4" s="181" t="s">
        <v>480</v>
      </c>
      <c r="Y4" s="181" t="s">
        <v>676</v>
      </c>
      <c r="Z4" s="181" t="s">
        <v>677</v>
      </c>
      <c r="AA4" s="181" t="s">
        <v>1698</v>
      </c>
      <c r="AB4" s="181" t="s">
        <v>866</v>
      </c>
    </row>
    <row r="5" spans="1:28">
      <c r="A5">
        <v>1</v>
      </c>
      <c r="B5" s="179" t="s">
        <v>24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1576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1660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27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30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227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32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302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34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185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1662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1579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1664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40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51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54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192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65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259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321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1666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483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79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1580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84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236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87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91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95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1509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1667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122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127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895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897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138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141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143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144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145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1585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45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153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898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155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899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160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900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902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166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904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905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170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1593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171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173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174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1668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82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68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183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906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1669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189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196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1686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207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205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164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210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211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212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213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215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220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224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891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37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1688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235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628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242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244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246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249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252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253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281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1691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283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285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913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288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289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291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1693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294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296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914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916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305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307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309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229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231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314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315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317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319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62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323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324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326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327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1517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331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333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335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336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338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1695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345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347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349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351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361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364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642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1242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365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366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367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369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1674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370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371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372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359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373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375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376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378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380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381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382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383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384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385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387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644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388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360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394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1699</v>
      </c>
    </row>
    <row r="2" spans="1:12" ht="5.25" customHeight="1">
      <c r="F2" s="126"/>
      <c r="G2" s="126"/>
    </row>
    <row r="3" spans="1:12" ht="20.100000000000001" customHeight="1">
      <c r="B3" s="1186" t="s">
        <v>1700</v>
      </c>
      <c r="C3" s="1186"/>
      <c r="D3" s="1186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1187"/>
      <c r="G5" s="1187"/>
    </row>
    <row r="6" spans="1:12" ht="26.45" customHeight="1">
      <c r="A6" s="41"/>
      <c r="B6" s="48"/>
      <c r="C6" s="48" t="s">
        <v>3</v>
      </c>
      <c r="D6" s="48" t="s">
        <v>1701</v>
      </c>
      <c r="E6" s="48"/>
      <c r="F6" s="55"/>
      <c r="G6" s="55"/>
    </row>
    <row r="7" spans="1:12" ht="37.15" customHeight="1">
      <c r="A7" s="41"/>
      <c r="B7" s="40"/>
      <c r="C7" s="48"/>
      <c r="D7" s="48" t="s">
        <v>1702</v>
      </c>
      <c r="E7" s="96" t="s">
        <v>1703</v>
      </c>
      <c r="F7" s="96" t="s">
        <v>1704</v>
      </c>
      <c r="G7" s="50" t="s">
        <v>1101</v>
      </c>
    </row>
    <row r="8" spans="1:12" ht="20.100000000000001" customHeight="1">
      <c r="A8" s="40" t="s">
        <v>22</v>
      </c>
      <c r="B8" s="148" t="s">
        <v>23</v>
      </c>
      <c r="C8" s="97"/>
      <c r="D8" s="97"/>
      <c r="E8" s="98" t="s">
        <v>21</v>
      </c>
      <c r="F8" s="98" t="s">
        <v>21</v>
      </c>
      <c r="G8" s="98" t="s">
        <v>21</v>
      </c>
    </row>
    <row r="9" spans="1:12" ht="20.100000000000001" customHeight="1">
      <c r="A9" s="45">
        <v>1</v>
      </c>
      <c r="B9" s="149" t="s">
        <v>24</v>
      </c>
      <c r="C9" s="101" t="s">
        <v>25</v>
      </c>
      <c r="D9" s="101" t="s">
        <v>26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1705</v>
      </c>
      <c r="C10" s="101" t="s">
        <v>1706</v>
      </c>
      <c r="D10" s="103" t="s">
        <v>124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1576</v>
      </c>
      <c r="C11" s="41" t="s">
        <v>1707</v>
      </c>
      <c r="D11" s="45" t="s">
        <v>209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1660</v>
      </c>
      <c r="C12" s="104" t="s">
        <v>1661</v>
      </c>
      <c r="D12" s="105" t="s">
        <v>209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27</v>
      </c>
      <c r="C13" s="101" t="s">
        <v>28</v>
      </c>
      <c r="D13" s="45" t="s">
        <v>1708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30</v>
      </c>
      <c r="C14" s="41" t="s">
        <v>31</v>
      </c>
      <c r="D14" s="103" t="s">
        <v>1516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227</v>
      </c>
      <c r="C15" s="41" t="s">
        <v>1709</v>
      </c>
      <c r="D15" s="108" t="s">
        <v>39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32</v>
      </c>
      <c r="C16" s="15" t="s">
        <v>903</v>
      </c>
      <c r="D16" s="8" t="s">
        <v>39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302</v>
      </c>
      <c r="C17" s="41" t="s">
        <v>1710</v>
      </c>
      <c r="D17" s="45" t="s">
        <v>39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34</v>
      </c>
      <c r="C18" s="101" t="s">
        <v>1711</v>
      </c>
      <c r="D18" s="103" t="s">
        <v>39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185</v>
      </c>
      <c r="C19" s="101" t="s">
        <v>909</v>
      </c>
      <c r="D19" s="46" t="s">
        <v>1516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1662</v>
      </c>
      <c r="C20" s="104" t="s">
        <v>1663</v>
      </c>
      <c r="D20" s="111" t="s">
        <v>214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1579</v>
      </c>
      <c r="C21" s="104" t="s">
        <v>619</v>
      </c>
      <c r="D21" s="45" t="s">
        <v>214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1664</v>
      </c>
      <c r="C22" s="41" t="s">
        <v>1665</v>
      </c>
      <c r="D22" s="45" t="s">
        <v>214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40</v>
      </c>
      <c r="C23" s="104" t="s">
        <v>1712</v>
      </c>
      <c r="D23" s="103" t="s">
        <v>56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189</v>
      </c>
      <c r="C24" s="41" t="s">
        <v>1529</v>
      </c>
      <c r="D24" s="103" t="s">
        <v>218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51</v>
      </c>
      <c r="C25" s="101" t="s">
        <v>61</v>
      </c>
      <c r="D25" s="103" t="s">
        <v>64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54</v>
      </c>
      <c r="C26" s="41" t="s">
        <v>55</v>
      </c>
      <c r="D26" s="103" t="s">
        <v>984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192</v>
      </c>
      <c r="C27" s="101" t="s">
        <v>912</v>
      </c>
      <c r="D27" s="103" t="s">
        <v>131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65</v>
      </c>
      <c r="C28" s="101" t="s">
        <v>107</v>
      </c>
      <c r="D28" s="103" t="s">
        <v>151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259</v>
      </c>
      <c r="C29" s="41" t="s">
        <v>1713</v>
      </c>
      <c r="D29" s="103" t="s">
        <v>151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321</v>
      </c>
      <c r="C30" s="41" t="s">
        <v>1681</v>
      </c>
      <c r="D30" s="103" t="s">
        <v>78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1666</v>
      </c>
      <c r="C31" s="101" t="s">
        <v>104</v>
      </c>
      <c r="D31" s="103" t="s">
        <v>75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483</v>
      </c>
      <c r="C32" s="44" t="s">
        <v>94</v>
      </c>
      <c r="D32" s="45" t="s">
        <v>225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79</v>
      </c>
      <c r="C33" s="101" t="s">
        <v>94</v>
      </c>
      <c r="D33" s="103" t="s">
        <v>1682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1580</v>
      </c>
      <c r="C34" s="101" t="s">
        <v>1528</v>
      </c>
      <c r="D34" s="103" t="s">
        <v>105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84</v>
      </c>
      <c r="C35" s="101" t="s">
        <v>1528</v>
      </c>
      <c r="D35" s="103" t="s">
        <v>1714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236</v>
      </c>
      <c r="C36" s="15" t="s">
        <v>1683</v>
      </c>
      <c r="D36" s="103" t="s">
        <v>108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87</v>
      </c>
      <c r="C37" s="41" t="s">
        <v>1582</v>
      </c>
      <c r="D37" s="45" t="s">
        <v>108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91</v>
      </c>
      <c r="C38" s="15" t="s">
        <v>622</v>
      </c>
      <c r="D38" s="103" t="s">
        <v>277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1715</v>
      </c>
      <c r="C39" s="15" t="s">
        <v>622</v>
      </c>
      <c r="D39" s="103" t="s">
        <v>277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95</v>
      </c>
      <c r="C40" s="41" t="s">
        <v>1684</v>
      </c>
      <c r="D40" s="45" t="s">
        <v>277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1509</v>
      </c>
      <c r="C41" s="101" t="s">
        <v>104</v>
      </c>
      <c r="D41" s="103" t="s">
        <v>277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1667</v>
      </c>
      <c r="C42" s="101" t="s">
        <v>104</v>
      </c>
      <c r="D42" s="103" t="s">
        <v>277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120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121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122</v>
      </c>
      <c r="C46" s="41" t="s">
        <v>123</v>
      </c>
      <c r="D46" s="45" t="s">
        <v>140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127</v>
      </c>
      <c r="C47" s="41" t="s">
        <v>1122</v>
      </c>
      <c r="D47" s="45" t="s">
        <v>277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137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895</v>
      </c>
      <c r="C51" s="41" t="s">
        <v>896</v>
      </c>
      <c r="D51" s="45" t="s">
        <v>124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897</v>
      </c>
      <c r="C52" s="41" t="s">
        <v>44</v>
      </c>
      <c r="D52" s="45" t="s">
        <v>39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138</v>
      </c>
      <c r="C53" s="41" t="s">
        <v>142</v>
      </c>
      <c r="D53" s="45" t="s">
        <v>39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141</v>
      </c>
      <c r="C54" s="41" t="s">
        <v>142</v>
      </c>
      <c r="D54" s="45" t="s">
        <v>50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143</v>
      </c>
      <c r="C55" s="41" t="s">
        <v>46</v>
      </c>
      <c r="D55" s="45" t="s">
        <v>191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144</v>
      </c>
      <c r="C56" s="41" t="s">
        <v>46</v>
      </c>
      <c r="D56" s="45" t="s">
        <v>214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145</v>
      </c>
      <c r="C57" s="41" t="s">
        <v>52</v>
      </c>
      <c r="D57" s="14" t="s">
        <v>214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1585</v>
      </c>
      <c r="C58" s="41" t="s">
        <v>217</v>
      </c>
      <c r="D58" s="45" t="s">
        <v>575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45</v>
      </c>
      <c r="C59" s="41" t="s">
        <v>910</v>
      </c>
      <c r="D59" s="8" t="s">
        <v>218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153</v>
      </c>
      <c r="C60" s="41" t="s">
        <v>150</v>
      </c>
      <c r="D60" s="45" t="s">
        <v>225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898</v>
      </c>
      <c r="C61" s="41" t="s">
        <v>150</v>
      </c>
      <c r="D61" s="45" t="s">
        <v>225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155</v>
      </c>
      <c r="C62" s="41" t="s">
        <v>150</v>
      </c>
      <c r="D62" s="45" t="s">
        <v>225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120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157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899</v>
      </c>
      <c r="C66" s="101" t="s">
        <v>159</v>
      </c>
      <c r="D66" s="103" t="s">
        <v>124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160</v>
      </c>
      <c r="C67" s="101" t="s">
        <v>161</v>
      </c>
      <c r="D67" s="103" t="s">
        <v>908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120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1716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900</v>
      </c>
      <c r="C71" s="15" t="s">
        <v>901</v>
      </c>
      <c r="D71" s="8" t="s">
        <v>124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902</v>
      </c>
      <c r="C72" s="15" t="s">
        <v>903</v>
      </c>
      <c r="D72" s="103" t="s">
        <v>1516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166</v>
      </c>
      <c r="C73" s="41" t="s">
        <v>217</v>
      </c>
      <c r="D73" s="8" t="s">
        <v>218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904</v>
      </c>
      <c r="C74" s="15" t="s">
        <v>217</v>
      </c>
      <c r="D74" s="103" t="s">
        <v>64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905</v>
      </c>
      <c r="C75" s="15" t="s">
        <v>52</v>
      </c>
      <c r="D75" s="103" t="s">
        <v>214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170</v>
      </c>
      <c r="C76" s="2" t="s">
        <v>150</v>
      </c>
      <c r="D76" s="8" t="s">
        <v>1717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1593</v>
      </c>
      <c r="C77" s="15" t="s">
        <v>72</v>
      </c>
      <c r="D77" s="103" t="s">
        <v>131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171</v>
      </c>
      <c r="C78" s="15" t="s">
        <v>72</v>
      </c>
      <c r="D78" s="103" t="s">
        <v>179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173</v>
      </c>
      <c r="C79" s="15" t="s">
        <v>72</v>
      </c>
      <c r="D79" s="103" t="s">
        <v>179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174</v>
      </c>
      <c r="C80" s="41" t="s">
        <v>181</v>
      </c>
      <c r="D80" s="45" t="s">
        <v>151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1668</v>
      </c>
      <c r="C81" s="15" t="s">
        <v>150</v>
      </c>
      <c r="D81" s="45" t="s">
        <v>81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82</v>
      </c>
      <c r="C82" s="15" t="s">
        <v>69</v>
      </c>
      <c r="D82" s="45" t="s">
        <v>225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68</v>
      </c>
      <c r="C83" s="15" t="s">
        <v>69</v>
      </c>
      <c r="D83" s="45" t="s">
        <v>277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120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1718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183</v>
      </c>
      <c r="C87" s="41" t="s">
        <v>184</v>
      </c>
      <c r="D87" s="45" t="s">
        <v>124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906</v>
      </c>
      <c r="C88" s="44" t="s">
        <v>907</v>
      </c>
      <c r="D88" s="103" t="s">
        <v>1516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1669</v>
      </c>
      <c r="C89" s="44" t="s">
        <v>1670</v>
      </c>
      <c r="D89" s="103" t="s">
        <v>1516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196</v>
      </c>
      <c r="C90" s="41" t="s">
        <v>181</v>
      </c>
      <c r="D90" s="45" t="s">
        <v>81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120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1719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1720</v>
      </c>
      <c r="C94" s="41" t="s">
        <v>1687</v>
      </c>
      <c r="D94" s="45" t="s">
        <v>209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207</v>
      </c>
      <c r="C95" s="41" t="s">
        <v>142</v>
      </c>
      <c r="D95" s="45" t="s">
        <v>39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205</v>
      </c>
      <c r="C96" s="41" t="s">
        <v>142</v>
      </c>
      <c r="D96" s="45" t="s">
        <v>39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164</v>
      </c>
      <c r="C97" s="41" t="s">
        <v>52</v>
      </c>
      <c r="D97" s="45" t="s">
        <v>47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210</v>
      </c>
      <c r="C98" s="41" t="s">
        <v>46</v>
      </c>
      <c r="D98" s="45" t="s">
        <v>214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1721</v>
      </c>
      <c r="C99" s="41" t="s">
        <v>46</v>
      </c>
      <c r="D99" s="45" t="s">
        <v>574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211</v>
      </c>
      <c r="C100" s="41" t="s">
        <v>910</v>
      </c>
      <c r="D100" s="103" t="s">
        <v>218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212</v>
      </c>
      <c r="C101" s="101" t="s">
        <v>217</v>
      </c>
      <c r="D101" s="103" t="s">
        <v>64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213</v>
      </c>
      <c r="C102" s="101" t="s">
        <v>217</v>
      </c>
      <c r="D102" s="103" t="s">
        <v>64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215</v>
      </c>
      <c r="C103" s="15" t="s">
        <v>72</v>
      </c>
      <c r="D103" s="103" t="s">
        <v>179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220</v>
      </c>
      <c r="C104" s="41" t="s">
        <v>150</v>
      </c>
      <c r="D104" s="45" t="s">
        <v>225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224</v>
      </c>
      <c r="C105" s="15" t="s">
        <v>554</v>
      </c>
      <c r="D105" s="103" t="s">
        <v>277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120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1722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891</v>
      </c>
      <c r="C109" s="45" t="s">
        <v>892</v>
      </c>
      <c r="D109" s="103" t="s">
        <v>209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37</v>
      </c>
      <c r="C110" s="2" t="s">
        <v>230</v>
      </c>
      <c r="D110" s="8" t="s">
        <v>214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1688</v>
      </c>
      <c r="C111" s="2" t="s">
        <v>1689</v>
      </c>
      <c r="D111" s="103" t="s">
        <v>64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235</v>
      </c>
      <c r="C112" s="41" t="s">
        <v>1723</v>
      </c>
      <c r="D112" s="103" t="s">
        <v>1724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120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1725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628</v>
      </c>
      <c r="C116" s="101" t="s">
        <v>241</v>
      </c>
      <c r="D116" s="103" t="s">
        <v>124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242</v>
      </c>
      <c r="C117" s="41" t="s">
        <v>243</v>
      </c>
      <c r="D117" s="45" t="s">
        <v>39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244</v>
      </c>
      <c r="C118" s="41" t="s">
        <v>629</v>
      </c>
      <c r="D118" s="45" t="s">
        <v>56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246</v>
      </c>
      <c r="C119" s="41" t="s">
        <v>629</v>
      </c>
      <c r="D119" s="8" t="s">
        <v>575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249</v>
      </c>
      <c r="C120" s="44" t="s">
        <v>250</v>
      </c>
      <c r="D120" s="103" t="s">
        <v>105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252</v>
      </c>
      <c r="C121" s="44" t="s">
        <v>250</v>
      </c>
      <c r="D121" s="45" t="s">
        <v>108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253</v>
      </c>
      <c r="C122" s="44" t="s">
        <v>250</v>
      </c>
      <c r="D122" s="103" t="s">
        <v>277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120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1726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281</v>
      </c>
      <c r="C126" s="101" t="s">
        <v>282</v>
      </c>
      <c r="D126" s="103" t="s">
        <v>124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1691</v>
      </c>
      <c r="C127" s="101" t="s">
        <v>1692</v>
      </c>
      <c r="D127" s="103" t="s">
        <v>36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283</v>
      </c>
      <c r="C128" s="101" t="s">
        <v>631</v>
      </c>
      <c r="D128" s="103" t="s">
        <v>39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285</v>
      </c>
      <c r="C129" s="101" t="s">
        <v>631</v>
      </c>
      <c r="D129" s="103" t="s">
        <v>39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913</v>
      </c>
      <c r="C130" s="101" t="s">
        <v>631</v>
      </c>
      <c r="D130" s="103" t="s">
        <v>42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288</v>
      </c>
      <c r="C131" s="101" t="s">
        <v>1694</v>
      </c>
      <c r="D131" s="103" t="s">
        <v>575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289</v>
      </c>
      <c r="C132" s="101" t="s">
        <v>632</v>
      </c>
      <c r="D132" s="103" t="s">
        <v>218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291</v>
      </c>
      <c r="C133" s="101" t="s">
        <v>1531</v>
      </c>
      <c r="D133" s="103" t="s">
        <v>218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1693</v>
      </c>
      <c r="C134" s="101" t="s">
        <v>1694</v>
      </c>
      <c r="D134" s="103" t="s">
        <v>576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294</v>
      </c>
      <c r="C135" s="101" t="s">
        <v>633</v>
      </c>
      <c r="D135" s="45" t="s">
        <v>225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296</v>
      </c>
      <c r="C136" s="101" t="s">
        <v>297</v>
      </c>
      <c r="D136" s="103" t="s">
        <v>277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120</v>
      </c>
      <c r="C137" s="134" t="s">
        <v>884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1727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1728</v>
      </c>
      <c r="C140" s="101" t="s">
        <v>1729</v>
      </c>
      <c r="D140" s="103" t="s">
        <v>124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914</v>
      </c>
      <c r="C141" s="101" t="s">
        <v>915</v>
      </c>
      <c r="D141" s="103" t="s">
        <v>124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916</v>
      </c>
      <c r="C142" s="101" t="s">
        <v>917</v>
      </c>
      <c r="D142" s="103" t="s">
        <v>36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305</v>
      </c>
      <c r="C143" s="2" t="s">
        <v>1730</v>
      </c>
      <c r="D143" s="14" t="s">
        <v>39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1731</v>
      </c>
      <c r="C144" s="2" t="s">
        <v>1732</v>
      </c>
      <c r="D144" s="14" t="s">
        <v>39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307</v>
      </c>
      <c r="C145" s="101" t="s">
        <v>918</v>
      </c>
      <c r="D145" s="103" t="s">
        <v>214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309</v>
      </c>
      <c r="C146" s="41" t="s">
        <v>313</v>
      </c>
      <c r="D146" s="103" t="s">
        <v>214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229</v>
      </c>
      <c r="C147" s="41" t="s">
        <v>920</v>
      </c>
      <c r="D147" s="103" t="s">
        <v>218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231</v>
      </c>
      <c r="C148" s="101" t="s">
        <v>919</v>
      </c>
      <c r="D148" s="103" t="s">
        <v>131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314</v>
      </c>
      <c r="C149" s="101" t="s">
        <v>919</v>
      </c>
      <c r="D149" s="103" t="s">
        <v>131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315</v>
      </c>
      <c r="C150" s="41" t="s">
        <v>920</v>
      </c>
      <c r="D150" s="103" t="s">
        <v>131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317</v>
      </c>
      <c r="C151" s="41" t="s">
        <v>922</v>
      </c>
      <c r="D151" s="103" t="s">
        <v>151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319</v>
      </c>
      <c r="C152" s="101" t="s">
        <v>1533</v>
      </c>
      <c r="D152" s="103" t="s">
        <v>78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62</v>
      </c>
      <c r="C153" s="101" t="s">
        <v>346</v>
      </c>
      <c r="D153" s="103" t="s">
        <v>151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1733</v>
      </c>
      <c r="C154" s="41" t="s">
        <v>922</v>
      </c>
      <c r="D154" s="103" t="s">
        <v>75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977</v>
      </c>
      <c r="C155" s="41" t="s">
        <v>922</v>
      </c>
      <c r="D155" s="103" t="s">
        <v>75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326</v>
      </c>
      <c r="C156" s="41" t="s">
        <v>922</v>
      </c>
      <c r="D156" s="103" t="s">
        <v>75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327</v>
      </c>
      <c r="C157" s="101" t="s">
        <v>328</v>
      </c>
      <c r="D157" s="103" t="s">
        <v>81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1517</v>
      </c>
      <c r="C158" s="101" t="s">
        <v>330</v>
      </c>
      <c r="D158" s="45" t="s">
        <v>225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331</v>
      </c>
      <c r="C159" s="101" t="s">
        <v>346</v>
      </c>
      <c r="D159" s="103" t="s">
        <v>105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333</v>
      </c>
      <c r="C160" s="101" t="s">
        <v>1734</v>
      </c>
      <c r="D160" s="103" t="s">
        <v>105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335</v>
      </c>
      <c r="C161" s="101" t="s">
        <v>346</v>
      </c>
      <c r="D161" s="103" t="s">
        <v>105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336</v>
      </c>
      <c r="C162" s="101" t="s">
        <v>640</v>
      </c>
      <c r="D162" s="103" t="s">
        <v>105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338</v>
      </c>
      <c r="C163" s="101" t="s">
        <v>348</v>
      </c>
      <c r="D163" s="103" t="s">
        <v>1714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1695</v>
      </c>
      <c r="C164" s="101" t="s">
        <v>346</v>
      </c>
      <c r="D164" s="103" t="s">
        <v>277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345</v>
      </c>
      <c r="C165" s="101" t="s">
        <v>346</v>
      </c>
      <c r="D165" s="103" t="s">
        <v>277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347</v>
      </c>
      <c r="C166" s="101" t="s">
        <v>348</v>
      </c>
      <c r="D166" s="103" t="s">
        <v>277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349</v>
      </c>
      <c r="C167" s="101" t="s">
        <v>350</v>
      </c>
      <c r="D167" s="103" t="s">
        <v>277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351</v>
      </c>
      <c r="C168" s="101" t="s">
        <v>641</v>
      </c>
      <c r="D168" s="103" t="s">
        <v>277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361</v>
      </c>
      <c r="C169" s="101" t="s">
        <v>556</v>
      </c>
      <c r="D169" s="103" t="s">
        <v>582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364</v>
      </c>
      <c r="C170" s="101" t="s">
        <v>556</v>
      </c>
      <c r="D170" s="103" t="s">
        <v>582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642</v>
      </c>
      <c r="C171" s="101" t="s">
        <v>556</v>
      </c>
      <c r="D171" s="103" t="s">
        <v>582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1244</v>
      </c>
      <c r="C172" s="101" t="s">
        <v>556</v>
      </c>
      <c r="D172" s="103" t="s">
        <v>582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1242</v>
      </c>
      <c r="C173" s="101" t="s">
        <v>556</v>
      </c>
      <c r="D173" s="103" t="s">
        <v>582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365</v>
      </c>
      <c r="C174" s="101" t="s">
        <v>556</v>
      </c>
      <c r="D174" s="103" t="s">
        <v>582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366</v>
      </c>
      <c r="C175" s="101" t="s">
        <v>556</v>
      </c>
      <c r="D175" s="103" t="s">
        <v>582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367</v>
      </c>
      <c r="C176" s="101" t="s">
        <v>389</v>
      </c>
      <c r="D176" s="103" t="s">
        <v>1735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369</v>
      </c>
      <c r="C177" s="101" t="s">
        <v>389</v>
      </c>
      <c r="D177" s="103" t="s">
        <v>1735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1674</v>
      </c>
      <c r="C178" s="101" t="s">
        <v>389</v>
      </c>
      <c r="D178" s="103" t="s">
        <v>1735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370</v>
      </c>
      <c r="C179" s="101" t="s">
        <v>389</v>
      </c>
      <c r="D179" s="103" t="s">
        <v>1735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371</v>
      </c>
      <c r="C180" s="101" t="s">
        <v>389</v>
      </c>
      <c r="D180" s="103" t="s">
        <v>1735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372</v>
      </c>
      <c r="C181" s="101" t="s">
        <v>389</v>
      </c>
      <c r="D181" s="103" t="s">
        <v>1735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359</v>
      </c>
      <c r="C182" s="101" t="s">
        <v>389</v>
      </c>
      <c r="D182" s="103" t="s">
        <v>1735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373</v>
      </c>
      <c r="C183" s="101" t="s">
        <v>389</v>
      </c>
      <c r="D183" s="103" t="s">
        <v>405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375</v>
      </c>
      <c r="C184" s="101" t="s">
        <v>389</v>
      </c>
      <c r="D184" s="103" t="s">
        <v>405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376</v>
      </c>
      <c r="C185" s="101" t="s">
        <v>389</v>
      </c>
      <c r="D185" s="103" t="s">
        <v>584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378</v>
      </c>
      <c r="C186" s="101" t="s">
        <v>389</v>
      </c>
      <c r="D186" s="103" t="s">
        <v>393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380</v>
      </c>
      <c r="C187" s="101" t="s">
        <v>558</v>
      </c>
      <c r="D187" s="103" t="s">
        <v>1736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381</v>
      </c>
      <c r="C188" s="101" t="s">
        <v>558</v>
      </c>
      <c r="D188" s="103" t="s">
        <v>1736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382</v>
      </c>
      <c r="C189" s="101" t="s">
        <v>558</v>
      </c>
      <c r="D189" s="103" t="s">
        <v>1736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383</v>
      </c>
      <c r="C190" s="101" t="s">
        <v>558</v>
      </c>
      <c r="D190" s="103" t="s">
        <v>1736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384</v>
      </c>
      <c r="C191" s="101" t="s">
        <v>558</v>
      </c>
      <c r="D191" s="103" t="s">
        <v>1736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385</v>
      </c>
      <c r="C192" s="101" t="s">
        <v>558</v>
      </c>
      <c r="D192" s="103" t="s">
        <v>395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387</v>
      </c>
      <c r="C193" s="101" t="s">
        <v>558</v>
      </c>
      <c r="D193" s="103" t="s">
        <v>395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644</v>
      </c>
      <c r="C194" s="101" t="s">
        <v>558</v>
      </c>
      <c r="D194" s="103" t="s">
        <v>400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388</v>
      </c>
      <c r="C195" s="101" t="s">
        <v>558</v>
      </c>
      <c r="D195" s="103" t="s">
        <v>400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360</v>
      </c>
      <c r="C196" s="101" t="s">
        <v>558</v>
      </c>
      <c r="D196" s="103" t="s">
        <v>400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394</v>
      </c>
      <c r="C197" s="101" t="s">
        <v>558</v>
      </c>
      <c r="D197" s="103" t="s">
        <v>923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120</v>
      </c>
      <c r="C198" s="138" t="s">
        <v>1737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408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1188" t="s">
        <v>1738</v>
      </c>
      <c r="D201" s="1188"/>
      <c r="E201" s="146"/>
      <c r="F201" s="145"/>
      <c r="G201" s="145"/>
    </row>
    <row r="202" spans="1:8" ht="20.100000000000001" customHeight="1">
      <c r="A202" s="41"/>
      <c r="B202" s="144"/>
      <c r="C202" s="1188"/>
      <c r="D202" s="1188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1699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1186" t="s">
        <v>1739</v>
      </c>
      <c r="C3" s="1186"/>
      <c r="D3" s="1186"/>
      <c r="E3" s="1186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1186" t="s">
        <v>2</v>
      </c>
      <c r="C5" s="1186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187"/>
      <c r="V5" s="1187"/>
      <c r="W5" s="1187"/>
      <c r="X5" s="1187"/>
      <c r="Y5" s="1187"/>
      <c r="Z5" s="1187"/>
      <c r="AA5" s="94"/>
      <c r="AB5" s="94"/>
    </row>
    <row r="6" spans="1:33" ht="35.450000000000003" customHeight="1">
      <c r="A6" s="41"/>
      <c r="B6" s="1189"/>
      <c r="C6" s="1189"/>
      <c r="D6" s="48" t="s">
        <v>3</v>
      </c>
      <c r="E6" s="48" t="s">
        <v>1701</v>
      </c>
      <c r="F6" s="50" t="s">
        <v>1740</v>
      </c>
      <c r="G6" s="41"/>
      <c r="H6" s="50"/>
      <c r="I6" s="50"/>
      <c r="J6" s="50"/>
      <c r="K6" s="50"/>
      <c r="L6" s="50"/>
      <c r="M6" s="50" t="s">
        <v>1741</v>
      </c>
      <c r="N6" s="50" t="s">
        <v>1742</v>
      </c>
      <c r="O6" s="50" t="s">
        <v>1743</v>
      </c>
      <c r="P6" s="50" t="s">
        <v>1744</v>
      </c>
      <c r="Q6" s="50" t="s">
        <v>1745</v>
      </c>
      <c r="R6" s="50" t="s">
        <v>1746</v>
      </c>
      <c r="S6" s="50" t="s">
        <v>1747</v>
      </c>
      <c r="T6" s="50" t="s">
        <v>1748</v>
      </c>
      <c r="U6" s="50" t="s">
        <v>1101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1133"/>
      <c r="C7" s="1133"/>
      <c r="D7" s="48"/>
      <c r="E7" s="48" t="s">
        <v>1702</v>
      </c>
      <c r="F7" s="50" t="s">
        <v>814</v>
      </c>
      <c r="G7" s="96" t="s">
        <v>1749</v>
      </c>
      <c r="H7" s="50" t="s">
        <v>494</v>
      </c>
      <c r="I7" s="50" t="s">
        <v>1148</v>
      </c>
      <c r="J7" s="50" t="s">
        <v>1149</v>
      </c>
      <c r="K7" s="50" t="s">
        <v>1150</v>
      </c>
      <c r="L7" s="50" t="s">
        <v>1151</v>
      </c>
      <c r="M7" s="50" t="s">
        <v>1152</v>
      </c>
      <c r="N7" s="50" t="s">
        <v>7</v>
      </c>
      <c r="O7" s="50" t="s">
        <v>7</v>
      </c>
      <c r="P7" s="50" t="s">
        <v>1153</v>
      </c>
      <c r="Q7" s="50" t="s">
        <v>1153</v>
      </c>
      <c r="R7" s="50" t="s">
        <v>8</v>
      </c>
      <c r="S7" s="50" t="s">
        <v>814</v>
      </c>
      <c r="T7" s="96" t="s">
        <v>814</v>
      </c>
      <c r="U7" s="96"/>
      <c r="V7" s="96"/>
      <c r="W7" s="50" t="s">
        <v>1099</v>
      </c>
      <c r="X7" s="96" t="s">
        <v>1035</v>
      </c>
      <c r="Y7" s="50" t="s">
        <v>1101</v>
      </c>
      <c r="Z7" s="50"/>
      <c r="AA7" s="50"/>
      <c r="AB7" s="50"/>
    </row>
    <row r="8" spans="1:33" ht="20.100000000000001" customHeight="1">
      <c r="A8" s="40" t="s">
        <v>22</v>
      </c>
      <c r="B8" s="1190" t="s">
        <v>1750</v>
      </c>
      <c r="C8" s="1190"/>
      <c r="D8" s="97"/>
      <c r="E8" s="97"/>
      <c r="F8" s="98" t="s">
        <v>21</v>
      </c>
      <c r="G8" s="55"/>
      <c r="H8" s="98"/>
      <c r="I8" s="98" t="s">
        <v>21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21</v>
      </c>
      <c r="T8" s="98" t="s">
        <v>21</v>
      </c>
      <c r="U8" s="98" t="s">
        <v>21</v>
      </c>
      <c r="V8" s="98"/>
      <c r="W8" s="98" t="s">
        <v>21</v>
      </c>
      <c r="X8" s="98" t="s">
        <v>21</v>
      </c>
      <c r="Y8" s="98" t="s">
        <v>21</v>
      </c>
      <c r="Z8" s="98"/>
      <c r="AA8" s="98"/>
      <c r="AB8" s="98"/>
    </row>
    <row r="9" spans="1:33" ht="20.100000000000001" customHeight="1">
      <c r="A9" s="45">
        <v>1</v>
      </c>
      <c r="B9" s="1191" t="s">
        <v>24</v>
      </c>
      <c r="C9" s="1192"/>
      <c r="D9" s="101" t="s">
        <v>25</v>
      </c>
      <c r="E9" s="101" t="s">
        <v>26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1191" t="s">
        <v>1705</v>
      </c>
      <c r="C10" s="1192"/>
      <c r="D10" s="101" t="s">
        <v>1706</v>
      </c>
      <c r="E10" s="103" t="s">
        <v>124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1193" t="s">
        <v>1751</v>
      </c>
      <c r="C11" s="1194"/>
      <c r="D11" s="104" t="s">
        <v>1752</v>
      </c>
      <c r="E11" s="105" t="s">
        <v>36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1191" t="s">
        <v>1576</v>
      </c>
      <c r="C12" s="1192"/>
      <c r="D12" s="41" t="s">
        <v>1707</v>
      </c>
      <c r="E12" s="45" t="s">
        <v>209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1193" t="s">
        <v>1660</v>
      </c>
      <c r="C13" s="1194"/>
      <c r="D13" s="104" t="s">
        <v>1661</v>
      </c>
      <c r="E13" s="105" t="s">
        <v>209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1191" t="s">
        <v>27</v>
      </c>
      <c r="C14" s="1192"/>
      <c r="D14" s="101" t="s">
        <v>28</v>
      </c>
      <c r="E14" s="45" t="s">
        <v>1708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1193" t="s">
        <v>227</v>
      </c>
      <c r="C15" s="1194"/>
      <c r="D15" s="41" t="s">
        <v>1709</v>
      </c>
      <c r="E15" s="108" t="s">
        <v>39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1195" t="s">
        <v>32</v>
      </c>
      <c r="C16" s="1196"/>
      <c r="D16" s="15" t="s">
        <v>903</v>
      </c>
      <c r="E16" s="8" t="s">
        <v>39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1193" t="s">
        <v>302</v>
      </c>
      <c r="C17" s="1194"/>
      <c r="D17" s="41" t="s">
        <v>1710</v>
      </c>
      <c r="E17" s="45" t="s">
        <v>39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1197" t="s">
        <v>34</v>
      </c>
      <c r="C18" s="1197"/>
      <c r="D18" s="101" t="s">
        <v>1711</v>
      </c>
      <c r="E18" s="103" t="s">
        <v>39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185</v>
      </c>
      <c r="C19" s="100"/>
      <c r="D19" s="101" t="s">
        <v>909</v>
      </c>
      <c r="E19" s="46" t="s">
        <v>1516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1193" t="s">
        <v>1662</v>
      </c>
      <c r="C20" s="1194"/>
      <c r="D20" s="104" t="s">
        <v>1663</v>
      </c>
      <c r="E20" s="111" t="s">
        <v>214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1193" t="s">
        <v>1579</v>
      </c>
      <c r="C21" s="1194"/>
      <c r="D21" s="104" t="s">
        <v>619</v>
      </c>
      <c r="E21" s="45" t="s">
        <v>214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1193" t="s">
        <v>1664</v>
      </c>
      <c r="C22" s="1194"/>
      <c r="D22" s="41" t="s">
        <v>1665</v>
      </c>
      <c r="E22" s="45" t="s">
        <v>214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1191" t="s">
        <v>40</v>
      </c>
      <c r="C23" s="1192"/>
      <c r="D23" s="104" t="s">
        <v>1712</v>
      </c>
      <c r="E23" s="103" t="s">
        <v>56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1193" t="s">
        <v>30</v>
      </c>
      <c r="C24" s="1194"/>
      <c r="D24" s="41" t="s">
        <v>1753</v>
      </c>
      <c r="E24" s="103" t="s">
        <v>984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1191" t="s">
        <v>51</v>
      </c>
      <c r="C25" s="1192"/>
      <c r="D25" s="101" t="s">
        <v>61</v>
      </c>
      <c r="E25" s="103" t="s">
        <v>64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1191" t="s">
        <v>65</v>
      </c>
      <c r="C26" s="1192"/>
      <c r="D26" s="101" t="s">
        <v>107</v>
      </c>
      <c r="E26" s="103" t="s">
        <v>151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1191" t="s">
        <v>192</v>
      </c>
      <c r="C27" s="1192"/>
      <c r="D27" s="101" t="s">
        <v>912</v>
      </c>
      <c r="E27" s="103" t="s">
        <v>131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54</v>
      </c>
      <c r="C28" s="100"/>
      <c r="D28" s="41" t="s">
        <v>55</v>
      </c>
      <c r="E28" s="103" t="s">
        <v>78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79</v>
      </c>
      <c r="C29" s="100"/>
      <c r="D29" s="101" t="s">
        <v>94</v>
      </c>
      <c r="E29" s="103" t="s">
        <v>1682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1509</v>
      </c>
      <c r="C30" s="100"/>
      <c r="D30" s="101" t="s">
        <v>104</v>
      </c>
      <c r="E30" s="103" t="s">
        <v>277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1666</v>
      </c>
      <c r="C31" s="100"/>
      <c r="D31" s="101" t="s">
        <v>104</v>
      </c>
      <c r="E31" s="103" t="s">
        <v>75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1197" t="s">
        <v>189</v>
      </c>
      <c r="C32" s="1197"/>
      <c r="D32" s="41" t="s">
        <v>1529</v>
      </c>
      <c r="E32" s="103" t="s">
        <v>218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1191" t="s">
        <v>259</v>
      </c>
      <c r="C33" s="1192"/>
      <c r="D33" s="41" t="s">
        <v>1713</v>
      </c>
      <c r="E33" s="103" t="s">
        <v>151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321</v>
      </c>
      <c r="C34" s="100"/>
      <c r="D34" s="41" t="s">
        <v>1681</v>
      </c>
      <c r="E34" s="103" t="s">
        <v>78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1191" t="s">
        <v>1580</v>
      </c>
      <c r="C35" s="1192"/>
      <c r="D35" s="101" t="s">
        <v>1528</v>
      </c>
      <c r="E35" s="103" t="s">
        <v>105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84</v>
      </c>
      <c r="C36" s="100"/>
      <c r="D36" s="101" t="s">
        <v>1528</v>
      </c>
      <c r="E36" s="103" t="s">
        <v>1714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1195" t="s">
        <v>236</v>
      </c>
      <c r="C37" s="1196"/>
      <c r="D37" s="15" t="s">
        <v>1683</v>
      </c>
      <c r="E37" s="103" t="s">
        <v>108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91</v>
      </c>
      <c r="C38" s="110"/>
      <c r="D38" s="15" t="s">
        <v>622</v>
      </c>
      <c r="E38" s="103" t="s">
        <v>277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1198" t="s">
        <v>120</v>
      </c>
      <c r="C39" s="1198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1198" t="s">
        <v>121</v>
      </c>
      <c r="C41" s="1198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122</v>
      </c>
      <c r="C42" s="100"/>
      <c r="D42" s="41" t="s">
        <v>123</v>
      </c>
      <c r="E42" s="45" t="s">
        <v>140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120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1199"/>
      <c r="C44" s="1200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1201" t="s">
        <v>137</v>
      </c>
      <c r="C45" s="1202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1191" t="s">
        <v>895</v>
      </c>
      <c r="C46" s="1192"/>
      <c r="D46" s="41" t="s">
        <v>896</v>
      </c>
      <c r="E46" s="45" t="s">
        <v>124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1191" t="s">
        <v>897</v>
      </c>
      <c r="C47" s="1192"/>
      <c r="D47" s="41" t="s">
        <v>44</v>
      </c>
      <c r="E47" s="45" t="s">
        <v>39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1191" t="s">
        <v>138</v>
      </c>
      <c r="C48" s="1192"/>
      <c r="D48" s="41" t="s">
        <v>142</v>
      </c>
      <c r="E48" s="45" t="s">
        <v>39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1191" t="s">
        <v>141</v>
      </c>
      <c r="C49" s="1192"/>
      <c r="D49" s="41" t="s">
        <v>142</v>
      </c>
      <c r="E49" s="45" t="s">
        <v>50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1191" t="s">
        <v>143</v>
      </c>
      <c r="C50" s="1192"/>
      <c r="D50" s="41" t="s">
        <v>46</v>
      </c>
      <c r="E50" s="45" t="s">
        <v>191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1191" t="s">
        <v>144</v>
      </c>
      <c r="C51" s="1192"/>
      <c r="D51" s="41" t="s">
        <v>46</v>
      </c>
      <c r="E51" s="45" t="s">
        <v>214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1203" t="s">
        <v>145</v>
      </c>
      <c r="C52" s="1204"/>
      <c r="D52" s="41" t="s">
        <v>52</v>
      </c>
      <c r="E52" s="14" t="s">
        <v>214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1191" t="s">
        <v>1585</v>
      </c>
      <c r="C53" s="1192"/>
      <c r="D53" s="41" t="s">
        <v>217</v>
      </c>
      <c r="E53" s="45" t="s">
        <v>575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1205" t="s">
        <v>1754</v>
      </c>
      <c r="C54" s="1206"/>
      <c r="D54" s="116" t="s">
        <v>52</v>
      </c>
      <c r="E54" s="117" t="s">
        <v>53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1195" t="s">
        <v>45</v>
      </c>
      <c r="C55" s="1196"/>
      <c r="D55" s="41" t="s">
        <v>910</v>
      </c>
      <c r="E55" s="8" t="s">
        <v>218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1207" t="s">
        <v>120</v>
      </c>
      <c r="C56" s="1208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1207" t="s">
        <v>157</v>
      </c>
      <c r="C58" s="1208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1191" t="s">
        <v>899</v>
      </c>
      <c r="C59" s="1192"/>
      <c r="D59" s="101" t="s">
        <v>159</v>
      </c>
      <c r="E59" s="103" t="s">
        <v>124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160</v>
      </c>
      <c r="C60" s="100"/>
      <c r="D60" s="101" t="s">
        <v>161</v>
      </c>
      <c r="E60" s="103" t="s">
        <v>908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1207" t="s">
        <v>120</v>
      </c>
      <c r="C61" s="1208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1207"/>
      <c r="C62" s="1208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1207" t="s">
        <v>1716</v>
      </c>
      <c r="C63" s="1208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1195" t="s">
        <v>900</v>
      </c>
      <c r="C64" s="1196"/>
      <c r="D64" s="15" t="s">
        <v>901</v>
      </c>
      <c r="E64" s="8" t="s">
        <v>124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902</v>
      </c>
      <c r="C65" s="110"/>
      <c r="D65" s="15" t="s">
        <v>903</v>
      </c>
      <c r="E65" s="103" t="s">
        <v>1516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1195" t="s">
        <v>1755</v>
      </c>
      <c r="C66" s="1196"/>
      <c r="D66" s="2" t="s">
        <v>910</v>
      </c>
      <c r="E66" s="8" t="s">
        <v>56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1195" t="s">
        <v>166</v>
      </c>
      <c r="C67" s="1196"/>
      <c r="D67" s="41" t="s">
        <v>217</v>
      </c>
      <c r="E67" s="8" t="s">
        <v>218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1756</v>
      </c>
      <c r="C68" s="110"/>
      <c r="D68" s="15" t="s">
        <v>217</v>
      </c>
      <c r="E68" s="103" t="s">
        <v>64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1193" t="s">
        <v>905</v>
      </c>
      <c r="C69" s="1194"/>
      <c r="D69" s="15" t="s">
        <v>52</v>
      </c>
      <c r="E69" s="103" t="s">
        <v>214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1195" t="s">
        <v>170</v>
      </c>
      <c r="C70" s="1196"/>
      <c r="D70" s="2" t="s">
        <v>150</v>
      </c>
      <c r="E70" s="8" t="s">
        <v>1717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1197" t="s">
        <v>1593</v>
      </c>
      <c r="C71" s="1197"/>
      <c r="D71" s="15" t="s">
        <v>150</v>
      </c>
      <c r="E71" s="103" t="s">
        <v>131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1191" t="s">
        <v>174</v>
      </c>
      <c r="C72" s="1192"/>
      <c r="D72" s="41" t="s">
        <v>181</v>
      </c>
      <c r="E72" s="45" t="s">
        <v>151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1195" t="s">
        <v>1668</v>
      </c>
      <c r="C73" s="1196"/>
      <c r="D73" s="15" t="s">
        <v>150</v>
      </c>
      <c r="E73" s="45" t="s">
        <v>81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1195" t="s">
        <v>82</v>
      </c>
      <c r="C74" s="1196"/>
      <c r="D74" s="15" t="s">
        <v>69</v>
      </c>
      <c r="E74" s="45" t="s">
        <v>277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1193" t="s">
        <v>68</v>
      </c>
      <c r="C75" s="1194"/>
      <c r="D75" s="15" t="s">
        <v>69</v>
      </c>
      <c r="E75" s="45" t="s">
        <v>277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1207" t="s">
        <v>120</v>
      </c>
      <c r="C76" s="1208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1207" t="s">
        <v>1718</v>
      </c>
      <c r="C78" s="1208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1191" t="s">
        <v>183</v>
      </c>
      <c r="C79" s="1192"/>
      <c r="D79" s="41" t="s">
        <v>184</v>
      </c>
      <c r="E79" s="45" t="s">
        <v>124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906</v>
      </c>
      <c r="D80" s="44" t="s">
        <v>907</v>
      </c>
      <c r="E80" s="103" t="s">
        <v>1516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1669</v>
      </c>
      <c r="D81" s="44" t="s">
        <v>1670</v>
      </c>
      <c r="E81" s="103" t="s">
        <v>1516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1191" t="s">
        <v>1757</v>
      </c>
      <c r="C82" s="1192"/>
      <c r="D82" s="41" t="s">
        <v>910</v>
      </c>
      <c r="E82" s="103" t="s">
        <v>218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1191" t="s">
        <v>196</v>
      </c>
      <c r="C83" s="1192"/>
      <c r="D83" s="41" t="s">
        <v>181</v>
      </c>
      <c r="E83" s="45" t="s">
        <v>81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87</v>
      </c>
      <c r="C84" s="100"/>
      <c r="D84" s="41" t="s">
        <v>1582</v>
      </c>
      <c r="E84" s="45" t="s">
        <v>108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95</v>
      </c>
      <c r="C85" s="100"/>
      <c r="D85" s="41" t="s">
        <v>1684</v>
      </c>
      <c r="E85" s="45" t="s">
        <v>277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1207" t="s">
        <v>120</v>
      </c>
      <c r="C86" s="1208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209"/>
      <c r="C87" s="1210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211" t="s">
        <v>1719</v>
      </c>
      <c r="C88" s="1212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1191" t="s">
        <v>1720</v>
      </c>
      <c r="C89" s="1192"/>
      <c r="D89" s="41" t="s">
        <v>1687</v>
      </c>
      <c r="E89" s="45" t="s">
        <v>209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1191" t="s">
        <v>207</v>
      </c>
      <c r="C90" s="1192"/>
      <c r="D90" s="41" t="s">
        <v>142</v>
      </c>
      <c r="E90" s="45" t="s">
        <v>39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1191" t="s">
        <v>205</v>
      </c>
      <c r="C91" s="1192"/>
      <c r="D91" s="41" t="s">
        <v>142</v>
      </c>
      <c r="E91" s="45" t="s">
        <v>39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1191" t="s">
        <v>1758</v>
      </c>
      <c r="C92" s="1192"/>
      <c r="D92" s="41" t="s">
        <v>46</v>
      </c>
      <c r="E92" s="45" t="s">
        <v>214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1193" t="s">
        <v>164</v>
      </c>
      <c r="C93" s="1194"/>
      <c r="D93" s="41" t="s">
        <v>52</v>
      </c>
      <c r="E93" s="45" t="s">
        <v>47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1195" t="s">
        <v>210</v>
      </c>
      <c r="C94" s="1196"/>
      <c r="D94" s="41" t="s">
        <v>46</v>
      </c>
      <c r="E94" s="45" t="s">
        <v>214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1191" t="s">
        <v>1759</v>
      </c>
      <c r="C95" s="1192"/>
      <c r="D95" s="101" t="s">
        <v>52</v>
      </c>
      <c r="E95" s="103" t="s">
        <v>53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1123" t="s">
        <v>1760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1197" t="s">
        <v>211</v>
      </c>
      <c r="C96" s="1197"/>
      <c r="D96" s="41" t="s">
        <v>910</v>
      </c>
      <c r="E96" s="103" t="s">
        <v>218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1191" t="s">
        <v>212</v>
      </c>
      <c r="C97" s="1192"/>
      <c r="D97" s="101" t="s">
        <v>217</v>
      </c>
      <c r="E97" s="103" t="s">
        <v>64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1191" t="s">
        <v>213</v>
      </c>
      <c r="C98" s="1192"/>
      <c r="D98" s="101" t="s">
        <v>217</v>
      </c>
      <c r="E98" s="103" t="s">
        <v>64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1198" t="s">
        <v>120</v>
      </c>
      <c r="C99" s="1198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1198" t="s">
        <v>1722</v>
      </c>
      <c r="C101" s="1198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891</v>
      </c>
      <c r="C102" s="100"/>
      <c r="D102" s="45" t="s">
        <v>892</v>
      </c>
      <c r="E102" s="103" t="s">
        <v>209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1195" t="s">
        <v>37</v>
      </c>
      <c r="C103" s="1196"/>
      <c r="D103" s="2" t="s">
        <v>230</v>
      </c>
      <c r="E103" s="8" t="s">
        <v>214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1688</v>
      </c>
      <c r="C104" s="110"/>
      <c r="D104" s="2" t="s">
        <v>1689</v>
      </c>
      <c r="E104" s="103" t="s">
        <v>64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1191" t="s">
        <v>235</v>
      </c>
      <c r="C105" s="1192"/>
      <c r="D105" s="41" t="s">
        <v>1723</v>
      </c>
      <c r="E105" s="103" t="s">
        <v>1724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1198" t="s">
        <v>120</v>
      </c>
      <c r="C106" s="1198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1198" t="s">
        <v>1725</v>
      </c>
      <c r="C108" s="119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1191" t="s">
        <v>628</v>
      </c>
      <c r="C109" s="1192"/>
      <c r="D109" s="101" t="s">
        <v>241</v>
      </c>
      <c r="E109" s="103" t="s">
        <v>124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213" t="s">
        <v>242</v>
      </c>
      <c r="C110" s="1214"/>
      <c r="D110" s="41" t="s">
        <v>243</v>
      </c>
      <c r="E110" s="45" t="s">
        <v>39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1191" t="s">
        <v>244</v>
      </c>
      <c r="C111" s="1192"/>
      <c r="D111" s="41" t="s">
        <v>629</v>
      </c>
      <c r="E111" s="45" t="s">
        <v>56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1195" t="s">
        <v>246</v>
      </c>
      <c r="C112" s="1196"/>
      <c r="D112" s="41" t="s">
        <v>629</v>
      </c>
      <c r="E112" s="8" t="s">
        <v>575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1191" t="s">
        <v>249</v>
      </c>
      <c r="C113" s="1192"/>
      <c r="D113" s="44" t="s">
        <v>250</v>
      </c>
      <c r="E113" s="103" t="s">
        <v>105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252</v>
      </c>
      <c r="C114" s="110"/>
      <c r="D114" s="44" t="s">
        <v>250</v>
      </c>
      <c r="E114" s="45" t="s">
        <v>108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253</v>
      </c>
      <c r="C115" s="100"/>
      <c r="D115" s="44" t="s">
        <v>250</v>
      </c>
      <c r="E115" s="103" t="s">
        <v>277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1761</v>
      </c>
      <c r="C116" s="100"/>
      <c r="D116" s="44" t="s">
        <v>250</v>
      </c>
      <c r="E116" s="103" t="s">
        <v>277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1198" t="s">
        <v>120</v>
      </c>
      <c r="C117" s="1198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1198" t="s">
        <v>1726</v>
      </c>
      <c r="C119" s="1198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1197" t="s">
        <v>281</v>
      </c>
      <c r="C120" s="1197"/>
      <c r="D120" s="101" t="s">
        <v>282</v>
      </c>
      <c r="E120" s="103" t="s">
        <v>124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1197" t="s">
        <v>1691</v>
      </c>
      <c r="C121" s="1197"/>
      <c r="D121" s="101" t="s">
        <v>1692</v>
      </c>
      <c r="E121" s="103" t="s">
        <v>36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1197" t="s">
        <v>283</v>
      </c>
      <c r="C122" s="1197"/>
      <c r="D122" s="101" t="s">
        <v>631</v>
      </c>
      <c r="E122" s="103" t="s">
        <v>39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215" t="s">
        <v>285</v>
      </c>
      <c r="C123" s="1215"/>
      <c r="D123" s="101" t="s">
        <v>631</v>
      </c>
      <c r="E123" s="103" t="s">
        <v>39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913</v>
      </c>
      <c r="D124" s="101" t="s">
        <v>631</v>
      </c>
      <c r="E124" s="103" t="s">
        <v>42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216" t="s">
        <v>288</v>
      </c>
      <c r="C125" s="1216"/>
      <c r="D125" s="101" t="s">
        <v>1694</v>
      </c>
      <c r="E125" s="103" t="s">
        <v>575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1197" t="s">
        <v>289</v>
      </c>
      <c r="C126" s="1197"/>
      <c r="D126" s="101" t="s">
        <v>632</v>
      </c>
      <c r="E126" s="103" t="s">
        <v>218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1197" t="s">
        <v>291</v>
      </c>
      <c r="C127" s="1197"/>
      <c r="D127" s="101" t="s">
        <v>1531</v>
      </c>
      <c r="E127" s="103" t="s">
        <v>218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1693</v>
      </c>
      <c r="C128" s="100"/>
      <c r="D128" s="101" t="s">
        <v>1694</v>
      </c>
      <c r="E128" s="103" t="s">
        <v>576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1198" t="s">
        <v>120</v>
      </c>
      <c r="C129" s="1198"/>
      <c r="D129" s="134" t="s">
        <v>1673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1198" t="s">
        <v>1727</v>
      </c>
      <c r="C131" s="1198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1197" t="s">
        <v>1728</v>
      </c>
      <c r="C132" s="1197"/>
      <c r="D132" s="101" t="s">
        <v>1729</v>
      </c>
      <c r="E132" s="103" t="s">
        <v>124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1197" t="s">
        <v>914</v>
      </c>
      <c r="C133" s="1197"/>
      <c r="D133" s="101" t="s">
        <v>915</v>
      </c>
      <c r="E133" s="103" t="s">
        <v>124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216" t="s">
        <v>916</v>
      </c>
      <c r="C134" s="1216"/>
      <c r="D134" s="101" t="s">
        <v>917</v>
      </c>
      <c r="E134" s="103" t="s">
        <v>36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1203" t="s">
        <v>305</v>
      </c>
      <c r="C135" s="1204"/>
      <c r="D135" s="2" t="s">
        <v>1730</v>
      </c>
      <c r="E135" s="14" t="s">
        <v>39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1203" t="s">
        <v>1731</v>
      </c>
      <c r="C136" s="1204"/>
      <c r="D136" s="2" t="s">
        <v>1732</v>
      </c>
      <c r="E136" s="14" t="s">
        <v>39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1197" t="s">
        <v>307</v>
      </c>
      <c r="C137" s="1197"/>
      <c r="D137" s="101" t="s">
        <v>918</v>
      </c>
      <c r="E137" s="103" t="s">
        <v>214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1197" t="s">
        <v>309</v>
      </c>
      <c r="C138" s="1197"/>
      <c r="D138" s="41" t="s">
        <v>313</v>
      </c>
      <c r="E138" s="103" t="s">
        <v>214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1197" t="s">
        <v>311</v>
      </c>
      <c r="C139" s="1197"/>
      <c r="D139" s="41" t="s">
        <v>313</v>
      </c>
      <c r="E139" s="103" t="s">
        <v>214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1197" t="s">
        <v>229</v>
      </c>
      <c r="C140" s="1197"/>
      <c r="D140" s="41" t="s">
        <v>920</v>
      </c>
      <c r="E140" s="103" t="s">
        <v>218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1191" t="s">
        <v>231</v>
      </c>
      <c r="C141" s="1192"/>
      <c r="D141" s="101" t="s">
        <v>919</v>
      </c>
      <c r="E141" s="103" t="s">
        <v>131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1197" t="s">
        <v>314</v>
      </c>
      <c r="C142" s="1197"/>
      <c r="D142" s="101" t="s">
        <v>919</v>
      </c>
      <c r="E142" s="103" t="s">
        <v>131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1191" t="s">
        <v>315</v>
      </c>
      <c r="C143" s="1192"/>
      <c r="D143" s="41" t="s">
        <v>920</v>
      </c>
      <c r="E143" s="103" t="s">
        <v>131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1191" t="s">
        <v>317</v>
      </c>
      <c r="C144" s="1192"/>
      <c r="D144" s="41" t="s">
        <v>922</v>
      </c>
      <c r="E144" s="103" t="s">
        <v>151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1191" t="s">
        <v>319</v>
      </c>
      <c r="C145" s="1192"/>
      <c r="D145" s="101" t="s">
        <v>1533</v>
      </c>
      <c r="E145" s="103" t="s">
        <v>78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1191" t="s">
        <v>62</v>
      </c>
      <c r="C146" s="1192"/>
      <c r="D146" s="101" t="s">
        <v>346</v>
      </c>
      <c r="E146" s="103" t="s">
        <v>151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1191" t="s">
        <v>1733</v>
      </c>
      <c r="C147" s="1192"/>
      <c r="D147" s="41" t="s">
        <v>922</v>
      </c>
      <c r="E147" s="103" t="s">
        <v>75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1191" t="s">
        <v>977</v>
      </c>
      <c r="C148" s="1192"/>
      <c r="D148" s="41" t="s">
        <v>922</v>
      </c>
      <c r="E148" s="103" t="s">
        <v>75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1191" t="s">
        <v>326</v>
      </c>
      <c r="C149" s="1192"/>
      <c r="D149" s="41" t="s">
        <v>922</v>
      </c>
      <c r="E149" s="103" t="s">
        <v>75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1191" t="s">
        <v>331</v>
      </c>
      <c r="C150" s="1192"/>
      <c r="D150" s="101" t="s">
        <v>346</v>
      </c>
      <c r="E150" s="103" t="s">
        <v>105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1191" t="s">
        <v>333</v>
      </c>
      <c r="C151" s="1192"/>
      <c r="D151" s="101" t="s">
        <v>1734</v>
      </c>
      <c r="E151" s="103" t="s">
        <v>105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1191" t="s">
        <v>335</v>
      </c>
      <c r="C152" s="1192"/>
      <c r="D152" s="101" t="s">
        <v>346</v>
      </c>
      <c r="E152" s="103" t="s">
        <v>105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1191" t="s">
        <v>336</v>
      </c>
      <c r="C153" s="1192"/>
      <c r="D153" s="101" t="s">
        <v>640</v>
      </c>
      <c r="E153" s="103" t="s">
        <v>105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338</v>
      </c>
      <c r="C154" s="100"/>
      <c r="D154" s="101" t="s">
        <v>348</v>
      </c>
      <c r="E154" s="103" t="s">
        <v>1714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1695</v>
      </c>
      <c r="C155" s="100"/>
      <c r="D155" s="101" t="s">
        <v>346</v>
      </c>
      <c r="E155" s="103" t="s">
        <v>277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224</v>
      </c>
      <c r="C156" s="100"/>
      <c r="D156" s="101" t="s">
        <v>348</v>
      </c>
      <c r="E156" s="103" t="s">
        <v>277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345</v>
      </c>
      <c r="C157" s="100"/>
      <c r="D157" s="101" t="s">
        <v>346</v>
      </c>
      <c r="E157" s="103" t="s">
        <v>277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1197" t="s">
        <v>361</v>
      </c>
      <c r="C158" s="1197"/>
      <c r="D158" s="101" t="s">
        <v>556</v>
      </c>
      <c r="E158" s="103" t="s">
        <v>582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1197" t="s">
        <v>364</v>
      </c>
      <c r="C159" s="1197"/>
      <c r="D159" s="101" t="s">
        <v>556</v>
      </c>
      <c r="E159" s="103" t="s">
        <v>582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1197" t="s">
        <v>642</v>
      </c>
      <c r="C160" s="1197"/>
      <c r="D160" s="101" t="s">
        <v>556</v>
      </c>
      <c r="E160" s="103" t="s">
        <v>582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1197" t="s">
        <v>1244</v>
      </c>
      <c r="C161" s="1197"/>
      <c r="D161" s="101" t="s">
        <v>556</v>
      </c>
      <c r="E161" s="103" t="s">
        <v>582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1197" t="s">
        <v>1242</v>
      </c>
      <c r="C162" s="1197"/>
      <c r="D162" s="101" t="s">
        <v>556</v>
      </c>
      <c r="E162" s="103" t="s">
        <v>582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1197" t="s">
        <v>365</v>
      </c>
      <c r="C163" s="1197"/>
      <c r="D163" s="101" t="s">
        <v>556</v>
      </c>
      <c r="E163" s="103" t="s">
        <v>582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1197" t="s">
        <v>366</v>
      </c>
      <c r="C164" s="1197"/>
      <c r="D164" s="101" t="s">
        <v>556</v>
      </c>
      <c r="E164" s="103" t="s">
        <v>582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1197" t="s">
        <v>367</v>
      </c>
      <c r="C165" s="1197"/>
      <c r="D165" s="101" t="s">
        <v>389</v>
      </c>
      <c r="E165" s="103" t="s">
        <v>1735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1197" t="s">
        <v>369</v>
      </c>
      <c r="C166" s="1197"/>
      <c r="D166" s="101" t="s">
        <v>389</v>
      </c>
      <c r="E166" s="103" t="s">
        <v>1735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1197" t="s">
        <v>1674</v>
      </c>
      <c r="C167" s="1197"/>
      <c r="D167" s="101" t="s">
        <v>389</v>
      </c>
      <c r="E167" s="103" t="s">
        <v>1735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370</v>
      </c>
      <c r="C168" s="41"/>
      <c r="D168" s="101" t="s">
        <v>389</v>
      </c>
      <c r="E168" s="103" t="s">
        <v>1735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1191" t="s">
        <v>371</v>
      </c>
      <c r="C169" s="1192"/>
      <c r="D169" s="101" t="s">
        <v>389</v>
      </c>
      <c r="E169" s="103" t="s">
        <v>1735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372</v>
      </c>
      <c r="C170" s="41"/>
      <c r="D170" s="101" t="s">
        <v>389</v>
      </c>
      <c r="E170" s="103" t="s">
        <v>1735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359</v>
      </c>
      <c r="C171" s="41"/>
      <c r="D171" s="101" t="s">
        <v>389</v>
      </c>
      <c r="E171" s="103" t="s">
        <v>1735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1191" t="s">
        <v>373</v>
      </c>
      <c r="C172" s="1192"/>
      <c r="D172" s="101" t="s">
        <v>389</v>
      </c>
      <c r="E172" s="103" t="s">
        <v>405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1191" t="s">
        <v>375</v>
      </c>
      <c r="C173" s="1192"/>
      <c r="D173" s="101" t="s">
        <v>389</v>
      </c>
      <c r="E173" s="103" t="s">
        <v>405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376</v>
      </c>
      <c r="C174" s="41"/>
      <c r="D174" s="101" t="s">
        <v>389</v>
      </c>
      <c r="E174" s="103" t="s">
        <v>584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1191" t="s">
        <v>378</v>
      </c>
      <c r="C175" s="1192"/>
      <c r="D175" s="101" t="s">
        <v>389</v>
      </c>
      <c r="E175" s="103" t="s">
        <v>393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1191" t="s">
        <v>380</v>
      </c>
      <c r="C176" s="1192"/>
      <c r="D176" s="101" t="s">
        <v>558</v>
      </c>
      <c r="E176" s="103" t="s">
        <v>1736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1191" t="s">
        <v>381</v>
      </c>
      <c r="C177" s="1192"/>
      <c r="D177" s="101" t="s">
        <v>558</v>
      </c>
      <c r="E177" s="103" t="s">
        <v>1736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1191" t="s">
        <v>382</v>
      </c>
      <c r="C178" s="1192"/>
      <c r="D178" s="101" t="s">
        <v>558</v>
      </c>
      <c r="E178" s="103" t="s">
        <v>1736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1191" t="s">
        <v>383</v>
      </c>
      <c r="C179" s="1192"/>
      <c r="D179" s="101" t="s">
        <v>558</v>
      </c>
      <c r="E179" s="103" t="s">
        <v>1736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1191" t="s">
        <v>384</v>
      </c>
      <c r="C180" s="1192"/>
      <c r="D180" s="101" t="s">
        <v>558</v>
      </c>
      <c r="E180" s="103" t="s">
        <v>1736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217" t="s">
        <v>644</v>
      </c>
      <c r="C181" s="1218"/>
      <c r="D181" s="101" t="s">
        <v>558</v>
      </c>
      <c r="E181" s="103" t="s">
        <v>400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219" t="s">
        <v>388</v>
      </c>
      <c r="C182" s="1220"/>
      <c r="D182" s="101" t="s">
        <v>558</v>
      </c>
      <c r="E182" s="103" t="s">
        <v>400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360</v>
      </c>
      <c r="C183" s="137"/>
      <c r="D183" s="101" t="s">
        <v>558</v>
      </c>
      <c r="E183" s="103" t="s">
        <v>400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385</v>
      </c>
      <c r="C184" s="137"/>
      <c r="D184" s="101" t="s">
        <v>558</v>
      </c>
      <c r="E184" s="103" t="s">
        <v>395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394</v>
      </c>
      <c r="C185" s="137"/>
      <c r="D185" s="101" t="s">
        <v>558</v>
      </c>
      <c r="E185" s="103" t="s">
        <v>923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387</v>
      </c>
      <c r="C186" s="137"/>
      <c r="D186" s="101" t="s">
        <v>558</v>
      </c>
      <c r="E186" s="103" t="s">
        <v>395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120</v>
      </c>
      <c r="D187" s="138" t="s">
        <v>1675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221" t="s">
        <v>408</v>
      </c>
      <c r="C188" s="1221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222"/>
      <c r="C189" s="1222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222"/>
      <c r="C190" s="1222"/>
      <c r="D190" s="1188" t="s">
        <v>1738</v>
      </c>
      <c r="E190" s="1188"/>
      <c r="F190" s="1188"/>
      <c r="G190" s="1188"/>
      <c r="H190" s="1188"/>
      <c r="I190" s="1188"/>
      <c r="J190" s="1188"/>
      <c r="K190" s="1223" t="s">
        <v>1762</v>
      </c>
      <c r="L190" s="1223"/>
      <c r="M190" s="1223"/>
      <c r="N190" s="142"/>
      <c r="O190" s="142"/>
      <c r="P190" s="1223" t="s">
        <v>1763</v>
      </c>
      <c r="Q190" s="1223"/>
      <c r="R190" s="1223"/>
      <c r="S190" s="1223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222"/>
      <c r="C191" s="1222"/>
      <c r="D191" s="1188"/>
      <c r="E191" s="1188"/>
      <c r="F191" s="1188"/>
      <c r="G191" s="1188"/>
      <c r="H191" s="1188"/>
      <c r="I191" s="1188"/>
      <c r="J191" s="1188"/>
      <c r="K191" s="1223"/>
      <c r="L191" s="1223"/>
      <c r="M191" s="1223"/>
      <c r="N191" s="142"/>
      <c r="O191" s="142"/>
      <c r="P191" s="1223"/>
      <c r="Q191" s="1223"/>
      <c r="R191" s="1223"/>
      <c r="S191" s="1223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175" t="s">
        <v>0</v>
      </c>
      <c r="B1" s="1175"/>
      <c r="C1" s="1175"/>
      <c r="D1" s="1175"/>
      <c r="E1" s="1175"/>
    </row>
    <row r="2" spans="1:7" ht="33.75" customHeight="1">
      <c r="A2" s="61" t="s">
        <v>1764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551</v>
      </c>
      <c r="F4" s="65" t="s">
        <v>552</v>
      </c>
      <c r="G4" s="65" t="s">
        <v>553</v>
      </c>
    </row>
    <row r="5" spans="1:7" ht="20.100000000000001" customHeight="1">
      <c r="A5" s="7" t="s">
        <v>22</v>
      </c>
      <c r="B5" s="6" t="s">
        <v>23</v>
      </c>
      <c r="C5" s="66"/>
      <c r="D5" s="6"/>
      <c r="E5" s="67" t="s">
        <v>21</v>
      </c>
      <c r="F5" s="67" t="s">
        <v>21</v>
      </c>
      <c r="G5" s="67" t="s">
        <v>21</v>
      </c>
    </row>
    <row r="6" spans="1:7" ht="20.100000000000001" customHeight="1">
      <c r="A6" s="8">
        <v>1</v>
      </c>
      <c r="B6" s="9" t="s">
        <v>24</v>
      </c>
      <c r="C6" s="68" t="s">
        <v>25</v>
      </c>
      <c r="D6" s="10" t="s">
        <v>26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1576</v>
      </c>
      <c r="C7" s="71" t="s">
        <v>1659</v>
      </c>
      <c r="D7" s="8" t="s">
        <v>36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1660</v>
      </c>
      <c r="C8" s="71" t="s">
        <v>1661</v>
      </c>
      <c r="D8" s="8" t="s">
        <v>209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27</v>
      </c>
      <c r="C9" s="68" t="s">
        <v>28</v>
      </c>
      <c r="D9" s="8" t="s">
        <v>1708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30</v>
      </c>
      <c r="C10" s="71" t="s">
        <v>31</v>
      </c>
      <c r="D10" s="13" t="s">
        <v>578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227</v>
      </c>
      <c r="C11" s="71" t="s">
        <v>1578</v>
      </c>
      <c r="D11" s="14" t="s">
        <v>578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32</v>
      </c>
      <c r="C12" s="72" t="s">
        <v>33</v>
      </c>
      <c r="D12" s="14" t="s">
        <v>578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890</v>
      </c>
      <c r="D13" s="14" t="s">
        <v>578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893</v>
      </c>
      <c r="D14" s="13" t="s">
        <v>39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185</v>
      </c>
      <c r="C15" s="68" t="s">
        <v>909</v>
      </c>
      <c r="D15" s="8" t="s">
        <v>1516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1662</v>
      </c>
      <c r="C16" s="71" t="s">
        <v>1663</v>
      </c>
      <c r="D16" s="14" t="s">
        <v>214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1579</v>
      </c>
      <c r="C17" s="71" t="s">
        <v>619</v>
      </c>
      <c r="D17" s="8" t="s">
        <v>214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1664</v>
      </c>
      <c r="C18" s="71" t="s">
        <v>1665</v>
      </c>
      <c r="D18" s="8" t="s">
        <v>214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619</v>
      </c>
      <c r="D19" s="13" t="s">
        <v>214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51</v>
      </c>
      <c r="C20" s="68" t="s">
        <v>61</v>
      </c>
      <c r="D20" s="13" t="s">
        <v>64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54</v>
      </c>
      <c r="C21" s="71" t="s">
        <v>55</v>
      </c>
      <c r="D21" s="13" t="s">
        <v>984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192</v>
      </c>
      <c r="C22" s="68" t="s">
        <v>912</v>
      </c>
      <c r="D22" s="13" t="s">
        <v>131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65</v>
      </c>
      <c r="C23" s="68" t="s">
        <v>177</v>
      </c>
      <c r="D23" s="13" t="s">
        <v>179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179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1681</v>
      </c>
      <c r="D25" s="13" t="s">
        <v>78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1666</v>
      </c>
      <c r="C26" s="68" t="s">
        <v>104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483</v>
      </c>
      <c r="C27" s="71" t="s">
        <v>94</v>
      </c>
      <c r="D27" s="8" t="s">
        <v>225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94</v>
      </c>
      <c r="D28" s="13" t="s">
        <v>225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1580</v>
      </c>
      <c r="C29" s="68" t="s">
        <v>1581</v>
      </c>
      <c r="D29" s="13" t="s">
        <v>225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84</v>
      </c>
      <c r="C30" s="68" t="s">
        <v>1528</v>
      </c>
      <c r="D30" s="13" t="s">
        <v>1714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1683</v>
      </c>
      <c r="D31" s="13" t="s">
        <v>108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87</v>
      </c>
      <c r="C32" s="71" t="s">
        <v>1582</v>
      </c>
      <c r="D32" s="8" t="s">
        <v>108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622</v>
      </c>
      <c r="D33" s="13" t="s">
        <v>225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1765</v>
      </c>
      <c r="C34" s="72" t="s">
        <v>622</v>
      </c>
      <c r="D34" s="13" t="s">
        <v>277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95</v>
      </c>
      <c r="C35" s="71" t="s">
        <v>1684</v>
      </c>
      <c r="D35" s="8" t="s">
        <v>277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1509</v>
      </c>
      <c r="C36" s="68" t="s">
        <v>104</v>
      </c>
      <c r="D36" s="13" t="s">
        <v>277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1667</v>
      </c>
      <c r="C37" s="68" t="s">
        <v>104</v>
      </c>
      <c r="D37" s="13" t="s">
        <v>277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120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121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122</v>
      </c>
      <c r="C41" s="71" t="s">
        <v>123</v>
      </c>
      <c r="D41" s="8" t="s">
        <v>140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127</v>
      </c>
      <c r="C42" s="71" t="s">
        <v>1122</v>
      </c>
      <c r="D42" s="8" t="s">
        <v>277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895</v>
      </c>
      <c r="C46" s="71" t="s">
        <v>896</v>
      </c>
      <c r="D46" s="8" t="s">
        <v>124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897</v>
      </c>
      <c r="C47" s="71" t="s">
        <v>44</v>
      </c>
      <c r="D47" s="8" t="s">
        <v>39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138</v>
      </c>
      <c r="C48" s="71" t="s">
        <v>142</v>
      </c>
      <c r="D48" s="8" t="s">
        <v>39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141</v>
      </c>
      <c r="C49" s="71" t="s">
        <v>142</v>
      </c>
      <c r="D49" s="8" t="s">
        <v>50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142</v>
      </c>
      <c r="D50" s="8" t="s">
        <v>42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46</v>
      </c>
      <c r="D51" s="8" t="s">
        <v>214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52</v>
      </c>
      <c r="D52" s="14" t="s">
        <v>214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1585</v>
      </c>
      <c r="C53" s="71" t="s">
        <v>52</v>
      </c>
      <c r="D53" s="8" t="s">
        <v>53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910</v>
      </c>
      <c r="D54" s="8" t="s">
        <v>218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225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898</v>
      </c>
      <c r="C56" s="71" t="s">
        <v>150</v>
      </c>
      <c r="D56" s="8" t="s">
        <v>225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155</v>
      </c>
      <c r="C57" s="71" t="s">
        <v>150</v>
      </c>
      <c r="D57" s="8" t="s">
        <v>225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120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157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899</v>
      </c>
      <c r="C61" s="68" t="s">
        <v>159</v>
      </c>
      <c r="D61" s="13" t="s">
        <v>124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120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163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900</v>
      </c>
      <c r="C65" s="72" t="s">
        <v>901</v>
      </c>
      <c r="D65" s="8" t="s">
        <v>124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902</v>
      </c>
      <c r="C66" s="72" t="s">
        <v>903</v>
      </c>
      <c r="D66" s="13" t="s">
        <v>1516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217</v>
      </c>
      <c r="D67" s="8" t="s">
        <v>218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904</v>
      </c>
      <c r="C68" s="72" t="s">
        <v>217</v>
      </c>
      <c r="D68" s="13" t="s">
        <v>64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905</v>
      </c>
      <c r="C69" s="72" t="s">
        <v>52</v>
      </c>
      <c r="D69" s="13" t="s">
        <v>214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1717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1593</v>
      </c>
      <c r="C71" s="72" t="s">
        <v>72</v>
      </c>
      <c r="D71" s="13" t="s">
        <v>131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171</v>
      </c>
      <c r="C72" s="72" t="s">
        <v>72</v>
      </c>
      <c r="D72" s="13" t="s">
        <v>179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72</v>
      </c>
      <c r="D73" s="13" t="s">
        <v>179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625</v>
      </c>
      <c r="D74" s="8" t="s">
        <v>179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1668</v>
      </c>
      <c r="C75" s="72" t="s">
        <v>150</v>
      </c>
      <c r="D75" s="8" t="s">
        <v>81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82</v>
      </c>
      <c r="C76" s="72" t="s">
        <v>69</v>
      </c>
      <c r="D76" s="8" t="s">
        <v>225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68</v>
      </c>
      <c r="C77" s="72" t="s">
        <v>69</v>
      </c>
      <c r="D77" s="8" t="s">
        <v>277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120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182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183</v>
      </c>
      <c r="C81" s="71" t="s">
        <v>184</v>
      </c>
      <c r="D81" s="8" t="s">
        <v>124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906</v>
      </c>
      <c r="C82" s="71" t="s">
        <v>907</v>
      </c>
      <c r="D82" s="13" t="s">
        <v>1516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1669</v>
      </c>
      <c r="C83" s="71" t="s">
        <v>1670</v>
      </c>
      <c r="D83" s="13" t="s">
        <v>1516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189</v>
      </c>
      <c r="C84" s="71" t="s">
        <v>1529</v>
      </c>
      <c r="D84" s="13" t="s">
        <v>218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196</v>
      </c>
      <c r="C85" s="71" t="s">
        <v>181</v>
      </c>
      <c r="D85" s="8" t="s">
        <v>81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120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1720</v>
      </c>
      <c r="C89" s="71" t="s">
        <v>1687</v>
      </c>
      <c r="D89" s="8" t="s">
        <v>209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207</v>
      </c>
      <c r="C90" s="71" t="s">
        <v>142</v>
      </c>
      <c r="D90" s="8" t="s">
        <v>39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205</v>
      </c>
      <c r="C91" s="71" t="s">
        <v>142</v>
      </c>
      <c r="D91" s="8" t="s">
        <v>39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164</v>
      </c>
      <c r="C92" s="71" t="s">
        <v>52</v>
      </c>
      <c r="D92" s="8" t="s">
        <v>47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210</v>
      </c>
      <c r="C93" s="71" t="s">
        <v>46</v>
      </c>
      <c r="D93" s="8" t="s">
        <v>214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211</v>
      </c>
      <c r="C94" s="71" t="s">
        <v>910</v>
      </c>
      <c r="D94" s="13" t="s">
        <v>218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212</v>
      </c>
      <c r="C95" s="68" t="s">
        <v>217</v>
      </c>
      <c r="D95" s="13" t="s">
        <v>64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213</v>
      </c>
      <c r="C96" s="68" t="s">
        <v>217</v>
      </c>
      <c r="D96" s="13" t="s">
        <v>64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215</v>
      </c>
      <c r="C97" s="72" t="s">
        <v>72</v>
      </c>
      <c r="D97" s="13" t="s">
        <v>179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220</v>
      </c>
      <c r="C98" s="71" t="s">
        <v>221</v>
      </c>
      <c r="D98" s="8" t="s">
        <v>81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224</v>
      </c>
      <c r="C99" s="72" t="s">
        <v>554</v>
      </c>
      <c r="D99" s="13" t="s">
        <v>277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120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555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891</v>
      </c>
      <c r="C103" s="80" t="s">
        <v>892</v>
      </c>
      <c r="D103" s="13" t="s">
        <v>209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230</v>
      </c>
      <c r="D104" s="8" t="s">
        <v>214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1688</v>
      </c>
      <c r="C105" s="71" t="s">
        <v>1689</v>
      </c>
      <c r="D105" s="13" t="s">
        <v>64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627</v>
      </c>
      <c r="D106" s="13" t="s">
        <v>179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120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628</v>
      </c>
      <c r="C110" s="68" t="s">
        <v>241</v>
      </c>
      <c r="D110" s="13" t="s">
        <v>124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578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629</v>
      </c>
      <c r="D112" s="8" t="s">
        <v>56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629</v>
      </c>
      <c r="D113" s="8" t="s">
        <v>575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105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277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120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1691</v>
      </c>
      <c r="C121" s="68" t="s">
        <v>1692</v>
      </c>
      <c r="D121" s="13" t="s">
        <v>36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631</v>
      </c>
      <c r="D122" s="13" t="s">
        <v>39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631</v>
      </c>
      <c r="D123" s="13" t="s">
        <v>39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913</v>
      </c>
      <c r="C124" s="68" t="s">
        <v>631</v>
      </c>
      <c r="D124" s="13" t="s">
        <v>42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53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632</v>
      </c>
      <c r="D126" s="13" t="s">
        <v>218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1531</v>
      </c>
      <c r="D127" s="13" t="s">
        <v>218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1693</v>
      </c>
      <c r="C128" s="68" t="s">
        <v>1694</v>
      </c>
      <c r="D128" s="13" t="s">
        <v>576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633</v>
      </c>
      <c r="D129" s="8" t="s">
        <v>225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277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120</v>
      </c>
      <c r="C131" s="84" t="s">
        <v>884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914</v>
      </c>
      <c r="C134" s="68" t="s">
        <v>1766</v>
      </c>
      <c r="D134" s="13" t="s">
        <v>124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916</v>
      </c>
      <c r="C135" s="68" t="s">
        <v>917</v>
      </c>
      <c r="D135" s="13" t="s">
        <v>36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578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918</v>
      </c>
      <c r="D137" s="13" t="s">
        <v>214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214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920</v>
      </c>
      <c r="D139" s="13" t="s">
        <v>218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919</v>
      </c>
      <c r="D140" s="13" t="s">
        <v>131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919</v>
      </c>
      <c r="D141" s="13" t="s">
        <v>131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920</v>
      </c>
      <c r="D142" s="13" t="s">
        <v>131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921</v>
      </c>
      <c r="D143" s="13" t="s">
        <v>179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1533</v>
      </c>
      <c r="D144" s="13" t="s">
        <v>78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62</v>
      </c>
      <c r="C145" s="68" t="s">
        <v>921</v>
      </c>
      <c r="D145" s="13" t="s">
        <v>179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922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922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922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81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1517</v>
      </c>
      <c r="C150" s="68" t="s">
        <v>330</v>
      </c>
      <c r="D150" s="8" t="s">
        <v>225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637</v>
      </c>
      <c r="D151" s="13" t="s">
        <v>81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638</v>
      </c>
      <c r="D152" s="13" t="s">
        <v>225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639</v>
      </c>
      <c r="D153" s="13" t="s">
        <v>81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640</v>
      </c>
      <c r="D154" s="13" t="s">
        <v>225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1714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1695</v>
      </c>
      <c r="C156" s="68" t="s">
        <v>346</v>
      </c>
      <c r="D156" s="13" t="s">
        <v>277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277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277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277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641</v>
      </c>
      <c r="D160" s="13" t="s">
        <v>277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361</v>
      </c>
      <c r="C161" s="68" t="s">
        <v>556</v>
      </c>
      <c r="D161" s="13" t="s">
        <v>582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364</v>
      </c>
      <c r="C162" s="68" t="s">
        <v>556</v>
      </c>
      <c r="D162" s="13" t="s">
        <v>582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642</v>
      </c>
      <c r="C163" s="68" t="s">
        <v>556</v>
      </c>
      <c r="D163" s="13" t="s">
        <v>582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1244</v>
      </c>
      <c r="C164" s="68" t="s">
        <v>556</v>
      </c>
      <c r="D164" s="13" t="s">
        <v>582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1242</v>
      </c>
      <c r="C165" s="68" t="s">
        <v>556</v>
      </c>
      <c r="D165" s="13" t="s">
        <v>582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365</v>
      </c>
      <c r="C166" s="68" t="s">
        <v>556</v>
      </c>
      <c r="D166" s="13" t="s">
        <v>582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366</v>
      </c>
      <c r="C167" s="68" t="s">
        <v>556</v>
      </c>
      <c r="D167" s="13" t="s">
        <v>582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367</v>
      </c>
      <c r="C168" s="68" t="s">
        <v>556</v>
      </c>
      <c r="D168" s="13" t="s">
        <v>583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369</v>
      </c>
      <c r="C169" s="68" t="s">
        <v>556</v>
      </c>
      <c r="D169" s="13" t="s">
        <v>583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1674</v>
      </c>
      <c r="C170" s="68" t="s">
        <v>556</v>
      </c>
      <c r="D170" s="13" t="s">
        <v>583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370</v>
      </c>
      <c r="C171" s="68" t="s">
        <v>556</v>
      </c>
      <c r="D171" s="13" t="s">
        <v>583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371</v>
      </c>
      <c r="C172" s="68" t="s">
        <v>556</v>
      </c>
      <c r="D172" s="13" t="s">
        <v>583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372</v>
      </c>
      <c r="C173" s="68" t="s">
        <v>556</v>
      </c>
      <c r="D173" s="13" t="s">
        <v>583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359</v>
      </c>
      <c r="C174" s="68" t="s">
        <v>556</v>
      </c>
      <c r="D174" s="13" t="s">
        <v>583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373</v>
      </c>
      <c r="C175" s="68" t="s">
        <v>389</v>
      </c>
      <c r="D175" s="13" t="s">
        <v>405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375</v>
      </c>
      <c r="C176" s="68" t="s">
        <v>389</v>
      </c>
      <c r="D176" s="13" t="s">
        <v>405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376</v>
      </c>
      <c r="C177" s="68" t="s">
        <v>389</v>
      </c>
      <c r="D177" s="13" t="s">
        <v>584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378</v>
      </c>
      <c r="C178" s="68" t="s">
        <v>389</v>
      </c>
      <c r="D178" s="13" t="s">
        <v>393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380</v>
      </c>
      <c r="C179" s="68" t="s">
        <v>558</v>
      </c>
      <c r="D179" s="13" t="s">
        <v>1736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381</v>
      </c>
      <c r="C180" s="68" t="s">
        <v>558</v>
      </c>
      <c r="D180" s="13" t="s">
        <v>1736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382</v>
      </c>
      <c r="C181" s="68" t="s">
        <v>558</v>
      </c>
      <c r="D181" s="13" t="s">
        <v>1736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383</v>
      </c>
      <c r="C182" s="68" t="s">
        <v>558</v>
      </c>
      <c r="D182" s="13" t="s">
        <v>1736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384</v>
      </c>
      <c r="C183" s="68" t="s">
        <v>558</v>
      </c>
      <c r="D183" s="13" t="s">
        <v>1736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385</v>
      </c>
      <c r="C184" s="68" t="s">
        <v>558</v>
      </c>
      <c r="D184" s="13" t="s">
        <v>395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387</v>
      </c>
      <c r="C185" s="68" t="s">
        <v>558</v>
      </c>
      <c r="D185" s="13" t="s">
        <v>395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644</v>
      </c>
      <c r="C186" s="68" t="s">
        <v>389</v>
      </c>
      <c r="D186" s="13" t="s">
        <v>395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388</v>
      </c>
      <c r="C187" s="68" t="s">
        <v>389</v>
      </c>
      <c r="D187" s="13" t="s">
        <v>395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360</v>
      </c>
      <c r="C188" s="68" t="s">
        <v>558</v>
      </c>
      <c r="D188" s="13" t="s">
        <v>400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394</v>
      </c>
      <c r="C189" s="68" t="s">
        <v>558</v>
      </c>
      <c r="D189" s="13" t="s">
        <v>923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120</v>
      </c>
      <c r="C190" s="85" t="s">
        <v>1767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408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175" t="s">
        <v>0</v>
      </c>
      <c r="B1" s="1175"/>
      <c r="C1" s="1175"/>
      <c r="D1" s="1175"/>
      <c r="E1" s="1175"/>
    </row>
    <row r="2" spans="1:7" ht="33.75" customHeight="1">
      <c r="A2" s="61" t="s">
        <v>1764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551</v>
      </c>
      <c r="F4" s="65" t="s">
        <v>552</v>
      </c>
      <c r="G4" s="65" t="s">
        <v>553</v>
      </c>
    </row>
    <row r="5" spans="1:7" ht="20.100000000000001" customHeight="1">
      <c r="A5" s="7" t="s">
        <v>22</v>
      </c>
      <c r="B5" s="6" t="s">
        <v>23</v>
      </c>
      <c r="C5" s="66"/>
      <c r="D5" s="6"/>
      <c r="E5" s="67" t="s">
        <v>21</v>
      </c>
      <c r="F5" s="67" t="s">
        <v>21</v>
      </c>
      <c r="G5" s="67" t="s">
        <v>21</v>
      </c>
    </row>
    <row r="6" spans="1:7" ht="20.100000000000001" customHeight="1">
      <c r="A6" s="8">
        <v>1</v>
      </c>
      <c r="B6" s="9" t="s">
        <v>24</v>
      </c>
      <c r="C6" s="68" t="s">
        <v>25</v>
      </c>
      <c r="D6" s="10" t="s">
        <v>26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1576</v>
      </c>
      <c r="C7" s="71" t="s">
        <v>1659</v>
      </c>
      <c r="D7" s="8" t="s">
        <v>36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1660</v>
      </c>
      <c r="C8" s="71" t="s">
        <v>1661</v>
      </c>
      <c r="D8" s="8" t="s">
        <v>209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27</v>
      </c>
      <c r="C9" s="68" t="s">
        <v>28</v>
      </c>
      <c r="D9" s="8" t="s">
        <v>1708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30</v>
      </c>
      <c r="C10" s="71" t="s">
        <v>31</v>
      </c>
      <c r="D10" s="13" t="s">
        <v>578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227</v>
      </c>
      <c r="C11" s="71" t="s">
        <v>1578</v>
      </c>
      <c r="D11" s="14" t="s">
        <v>578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32</v>
      </c>
      <c r="C12" s="72" t="s">
        <v>33</v>
      </c>
      <c r="D12" s="14" t="s">
        <v>578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890</v>
      </c>
      <c r="D13" s="14" t="s">
        <v>578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34</v>
      </c>
      <c r="C14" s="68" t="s">
        <v>893</v>
      </c>
      <c r="D14" s="13" t="s">
        <v>39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185</v>
      </c>
      <c r="C15" s="68" t="s">
        <v>909</v>
      </c>
      <c r="D15" s="8" t="s">
        <v>1516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1662</v>
      </c>
      <c r="C16" s="71" t="s">
        <v>1663</v>
      </c>
      <c r="D16" s="14" t="s">
        <v>214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1579</v>
      </c>
      <c r="C17" s="71" t="s">
        <v>619</v>
      </c>
      <c r="D17" s="8" t="s">
        <v>214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1664</v>
      </c>
      <c r="C18" s="71" t="s">
        <v>1665</v>
      </c>
      <c r="D18" s="8" t="s">
        <v>214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40</v>
      </c>
      <c r="C19" s="71" t="s">
        <v>619</v>
      </c>
      <c r="D19" s="13" t="s">
        <v>214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51</v>
      </c>
      <c r="C20" s="68" t="s">
        <v>61</v>
      </c>
      <c r="D20" s="13" t="s">
        <v>64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54</v>
      </c>
      <c r="C21" s="71" t="s">
        <v>55</v>
      </c>
      <c r="D21" s="13" t="s">
        <v>984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192</v>
      </c>
      <c r="C22" s="68" t="s">
        <v>912</v>
      </c>
      <c r="D22" s="13" t="s">
        <v>131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65</v>
      </c>
      <c r="C23" s="68" t="s">
        <v>177</v>
      </c>
      <c r="D23" s="13" t="s">
        <v>179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179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1681</v>
      </c>
      <c r="D25" s="13" t="s">
        <v>78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1666</v>
      </c>
      <c r="C26" s="68" t="s">
        <v>104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483</v>
      </c>
      <c r="C27" s="71" t="s">
        <v>94</v>
      </c>
      <c r="D27" s="8" t="s">
        <v>225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94</v>
      </c>
      <c r="D28" s="13" t="s">
        <v>225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1580</v>
      </c>
      <c r="C29" s="68" t="s">
        <v>1581</v>
      </c>
      <c r="D29" s="13" t="s">
        <v>225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84</v>
      </c>
      <c r="C30" s="68" t="s">
        <v>1528</v>
      </c>
      <c r="D30" s="13" t="s">
        <v>1714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1683</v>
      </c>
      <c r="D31" s="13" t="s">
        <v>108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87</v>
      </c>
      <c r="C32" s="71" t="s">
        <v>1582</v>
      </c>
      <c r="D32" s="8" t="s">
        <v>108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622</v>
      </c>
      <c r="D33" s="13" t="s">
        <v>225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1765</v>
      </c>
      <c r="C34" s="72" t="s">
        <v>622</v>
      </c>
      <c r="D34" s="13" t="s">
        <v>277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95</v>
      </c>
      <c r="C35" s="71" t="s">
        <v>1684</v>
      </c>
      <c r="D35" s="8" t="s">
        <v>277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1509</v>
      </c>
      <c r="C36" s="68" t="s">
        <v>104</v>
      </c>
      <c r="D36" s="13" t="s">
        <v>277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1667</v>
      </c>
      <c r="C37" s="68" t="s">
        <v>104</v>
      </c>
      <c r="D37" s="13" t="s">
        <v>277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120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121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122</v>
      </c>
      <c r="C41" s="71" t="s">
        <v>123</v>
      </c>
      <c r="D41" s="8" t="s">
        <v>140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127</v>
      </c>
      <c r="C42" s="71" t="s">
        <v>1122</v>
      </c>
      <c r="D42" s="8" t="s">
        <v>277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137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895</v>
      </c>
      <c r="C46" s="71" t="s">
        <v>896</v>
      </c>
      <c r="D46" s="8" t="s">
        <v>124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897</v>
      </c>
      <c r="C47" s="71" t="s">
        <v>44</v>
      </c>
      <c r="D47" s="8" t="s">
        <v>39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138</v>
      </c>
      <c r="C48" s="71" t="s">
        <v>142</v>
      </c>
      <c r="D48" s="8" t="s">
        <v>39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141</v>
      </c>
      <c r="C49" s="71" t="s">
        <v>142</v>
      </c>
      <c r="D49" s="8" t="s">
        <v>50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142</v>
      </c>
      <c r="D50" s="8" t="s">
        <v>42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46</v>
      </c>
      <c r="D51" s="8" t="s">
        <v>214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52</v>
      </c>
      <c r="D52" s="14" t="s">
        <v>214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1585</v>
      </c>
      <c r="C53" s="71" t="s">
        <v>52</v>
      </c>
      <c r="D53" s="8" t="s">
        <v>53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45</v>
      </c>
      <c r="C54" s="71" t="s">
        <v>910</v>
      </c>
      <c r="D54" s="8" t="s">
        <v>218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225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898</v>
      </c>
      <c r="C56" s="71" t="s">
        <v>150</v>
      </c>
      <c r="D56" s="8" t="s">
        <v>225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155</v>
      </c>
      <c r="C57" s="71" t="s">
        <v>150</v>
      </c>
      <c r="D57" s="8" t="s">
        <v>225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120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157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899</v>
      </c>
      <c r="C61" s="68" t="s">
        <v>159</v>
      </c>
      <c r="D61" s="13" t="s">
        <v>124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120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163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900</v>
      </c>
      <c r="C65" s="72" t="s">
        <v>901</v>
      </c>
      <c r="D65" s="8" t="s">
        <v>124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902</v>
      </c>
      <c r="C66" s="72" t="s">
        <v>903</v>
      </c>
      <c r="D66" s="13" t="s">
        <v>1516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217</v>
      </c>
      <c r="D67" s="8" t="s">
        <v>218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904</v>
      </c>
      <c r="C68" s="72" t="s">
        <v>217</v>
      </c>
      <c r="D68" s="13" t="s">
        <v>64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905</v>
      </c>
      <c r="C69" s="72" t="s">
        <v>52</v>
      </c>
      <c r="D69" s="13" t="s">
        <v>214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1717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1593</v>
      </c>
      <c r="C71" s="72" t="s">
        <v>72</v>
      </c>
      <c r="D71" s="13" t="s">
        <v>131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171</v>
      </c>
      <c r="C72" s="72" t="s">
        <v>72</v>
      </c>
      <c r="D72" s="13" t="s">
        <v>179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72</v>
      </c>
      <c r="D73" s="13" t="s">
        <v>179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625</v>
      </c>
      <c r="D74" s="8" t="s">
        <v>179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1668</v>
      </c>
      <c r="C75" s="72" t="s">
        <v>150</v>
      </c>
      <c r="D75" s="8" t="s">
        <v>81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82</v>
      </c>
      <c r="C76" s="72" t="s">
        <v>69</v>
      </c>
      <c r="D76" s="8" t="s">
        <v>225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68</v>
      </c>
      <c r="C77" s="72" t="s">
        <v>69</v>
      </c>
      <c r="D77" s="8" t="s">
        <v>277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120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182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183</v>
      </c>
      <c r="C81" s="71" t="s">
        <v>184</v>
      </c>
      <c r="D81" s="8" t="s">
        <v>124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906</v>
      </c>
      <c r="C82" s="71" t="s">
        <v>907</v>
      </c>
      <c r="D82" s="13" t="s">
        <v>1516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1669</v>
      </c>
      <c r="C83" s="71" t="s">
        <v>1670</v>
      </c>
      <c r="D83" s="13" t="s">
        <v>1516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189</v>
      </c>
      <c r="C84" s="71" t="s">
        <v>1529</v>
      </c>
      <c r="D84" s="13" t="s">
        <v>218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196</v>
      </c>
      <c r="C85" s="71" t="s">
        <v>181</v>
      </c>
      <c r="D85" s="8" t="s">
        <v>81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120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1720</v>
      </c>
      <c r="C89" s="71" t="s">
        <v>1687</v>
      </c>
      <c r="D89" s="8" t="s">
        <v>209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207</v>
      </c>
      <c r="C90" s="71" t="s">
        <v>142</v>
      </c>
      <c r="D90" s="8" t="s">
        <v>39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205</v>
      </c>
      <c r="C91" s="71" t="s">
        <v>142</v>
      </c>
      <c r="D91" s="8" t="s">
        <v>39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164</v>
      </c>
      <c r="C92" s="71" t="s">
        <v>52</v>
      </c>
      <c r="D92" s="8" t="s">
        <v>47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210</v>
      </c>
      <c r="C93" s="71" t="s">
        <v>46</v>
      </c>
      <c r="D93" s="8" t="s">
        <v>214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211</v>
      </c>
      <c r="C94" s="71" t="s">
        <v>910</v>
      </c>
      <c r="D94" s="13" t="s">
        <v>218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212</v>
      </c>
      <c r="C95" s="68" t="s">
        <v>217</v>
      </c>
      <c r="D95" s="13" t="s">
        <v>64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213</v>
      </c>
      <c r="C96" s="68" t="s">
        <v>217</v>
      </c>
      <c r="D96" s="13" t="s">
        <v>64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215</v>
      </c>
      <c r="C97" s="72" t="s">
        <v>72</v>
      </c>
      <c r="D97" s="13" t="s">
        <v>179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220</v>
      </c>
      <c r="C98" s="71" t="s">
        <v>221</v>
      </c>
      <c r="D98" s="8" t="s">
        <v>81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224</v>
      </c>
      <c r="C99" s="72" t="s">
        <v>554</v>
      </c>
      <c r="D99" s="13" t="s">
        <v>277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120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555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891</v>
      </c>
      <c r="C103" s="80" t="s">
        <v>892</v>
      </c>
      <c r="D103" s="13" t="s">
        <v>209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37</v>
      </c>
      <c r="C104" s="71" t="s">
        <v>230</v>
      </c>
      <c r="D104" s="8" t="s">
        <v>214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1688</v>
      </c>
      <c r="C105" s="71" t="s">
        <v>1689</v>
      </c>
      <c r="D105" s="13" t="s">
        <v>64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627</v>
      </c>
      <c r="D106" s="13" t="s">
        <v>179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120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628</v>
      </c>
      <c r="C110" s="68" t="s">
        <v>241</v>
      </c>
      <c r="D110" s="13" t="s">
        <v>124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578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629</v>
      </c>
      <c r="D112" s="8" t="s">
        <v>56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629</v>
      </c>
      <c r="D113" s="8" t="s">
        <v>575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105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108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277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120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124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1691</v>
      </c>
      <c r="C121" s="68" t="s">
        <v>1692</v>
      </c>
      <c r="D121" s="13" t="s">
        <v>36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631</v>
      </c>
      <c r="D122" s="13" t="s">
        <v>39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631</v>
      </c>
      <c r="D123" s="13" t="s">
        <v>39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913</v>
      </c>
      <c r="C124" s="68" t="s">
        <v>631</v>
      </c>
      <c r="D124" s="13" t="s">
        <v>42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53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632</v>
      </c>
      <c r="D126" s="13" t="s">
        <v>218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1531</v>
      </c>
      <c r="D127" s="13" t="s">
        <v>218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1693</v>
      </c>
      <c r="C128" s="68" t="s">
        <v>1694</v>
      </c>
      <c r="D128" s="13" t="s">
        <v>576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633</v>
      </c>
      <c r="D129" s="8" t="s">
        <v>225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277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120</v>
      </c>
      <c r="C131" s="84" t="s">
        <v>884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914</v>
      </c>
      <c r="C134" s="68" t="s">
        <v>1766</v>
      </c>
      <c r="D134" s="13" t="s">
        <v>124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916</v>
      </c>
      <c r="C135" s="68" t="s">
        <v>917</v>
      </c>
      <c r="D135" s="13" t="s">
        <v>36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578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918</v>
      </c>
      <c r="D137" s="13" t="s">
        <v>214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214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920</v>
      </c>
      <c r="D139" s="13" t="s">
        <v>218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919</v>
      </c>
      <c r="D140" s="13" t="s">
        <v>131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919</v>
      </c>
      <c r="D141" s="13" t="s">
        <v>131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920</v>
      </c>
      <c r="D142" s="13" t="s">
        <v>131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921</v>
      </c>
      <c r="D143" s="13" t="s">
        <v>179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1533</v>
      </c>
      <c r="D144" s="13" t="s">
        <v>78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62</v>
      </c>
      <c r="C145" s="68" t="s">
        <v>921</v>
      </c>
      <c r="D145" s="13" t="s">
        <v>179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922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922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922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81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1517</v>
      </c>
      <c r="C150" s="68" t="s">
        <v>330</v>
      </c>
      <c r="D150" s="8" t="s">
        <v>225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637</v>
      </c>
      <c r="D151" s="13" t="s">
        <v>81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638</v>
      </c>
      <c r="D152" s="13" t="s">
        <v>225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639</v>
      </c>
      <c r="D153" s="13" t="s">
        <v>81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640</v>
      </c>
      <c r="D154" s="13" t="s">
        <v>225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1714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1695</v>
      </c>
      <c r="C156" s="68" t="s">
        <v>346</v>
      </c>
      <c r="D156" s="13" t="s">
        <v>277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277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277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277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641</v>
      </c>
      <c r="D160" s="13" t="s">
        <v>277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361</v>
      </c>
      <c r="C161" s="68" t="s">
        <v>556</v>
      </c>
      <c r="D161" s="13" t="s">
        <v>582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364</v>
      </c>
      <c r="C162" s="68" t="s">
        <v>556</v>
      </c>
      <c r="D162" s="13" t="s">
        <v>582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642</v>
      </c>
      <c r="C163" s="68" t="s">
        <v>556</v>
      </c>
      <c r="D163" s="13" t="s">
        <v>582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1244</v>
      </c>
      <c r="C164" s="68" t="s">
        <v>556</v>
      </c>
      <c r="D164" s="13" t="s">
        <v>582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1242</v>
      </c>
      <c r="C165" s="68" t="s">
        <v>556</v>
      </c>
      <c r="D165" s="13" t="s">
        <v>582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365</v>
      </c>
      <c r="C166" s="68" t="s">
        <v>556</v>
      </c>
      <c r="D166" s="13" t="s">
        <v>582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366</v>
      </c>
      <c r="C167" s="68" t="s">
        <v>556</v>
      </c>
      <c r="D167" s="13" t="s">
        <v>582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367</v>
      </c>
      <c r="C168" s="68" t="s">
        <v>556</v>
      </c>
      <c r="D168" s="13" t="s">
        <v>583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369</v>
      </c>
      <c r="C169" s="68" t="s">
        <v>556</v>
      </c>
      <c r="D169" s="13" t="s">
        <v>583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1674</v>
      </c>
      <c r="C170" s="68" t="s">
        <v>556</v>
      </c>
      <c r="D170" s="13" t="s">
        <v>583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370</v>
      </c>
      <c r="C171" s="68" t="s">
        <v>556</v>
      </c>
      <c r="D171" s="13" t="s">
        <v>583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371</v>
      </c>
      <c r="C172" s="68" t="s">
        <v>556</v>
      </c>
      <c r="D172" s="13" t="s">
        <v>583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372</v>
      </c>
      <c r="C173" s="68" t="s">
        <v>556</v>
      </c>
      <c r="D173" s="13" t="s">
        <v>583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359</v>
      </c>
      <c r="C174" s="68" t="s">
        <v>556</v>
      </c>
      <c r="D174" s="13" t="s">
        <v>583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373</v>
      </c>
      <c r="C175" s="68" t="s">
        <v>389</v>
      </c>
      <c r="D175" s="13" t="s">
        <v>405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375</v>
      </c>
      <c r="C176" s="68" t="s">
        <v>389</v>
      </c>
      <c r="D176" s="13" t="s">
        <v>405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376</v>
      </c>
      <c r="C177" s="68" t="s">
        <v>389</v>
      </c>
      <c r="D177" s="13" t="s">
        <v>584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378</v>
      </c>
      <c r="C178" s="68" t="s">
        <v>389</v>
      </c>
      <c r="D178" s="13" t="s">
        <v>393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380</v>
      </c>
      <c r="C179" s="68" t="s">
        <v>558</v>
      </c>
      <c r="D179" s="13" t="s">
        <v>1736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381</v>
      </c>
      <c r="C180" s="68" t="s">
        <v>558</v>
      </c>
      <c r="D180" s="13" t="s">
        <v>1736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382</v>
      </c>
      <c r="C181" s="68" t="s">
        <v>558</v>
      </c>
      <c r="D181" s="13" t="s">
        <v>1736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383</v>
      </c>
      <c r="C182" s="68" t="s">
        <v>558</v>
      </c>
      <c r="D182" s="13" t="s">
        <v>1736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384</v>
      </c>
      <c r="C183" s="68" t="s">
        <v>558</v>
      </c>
      <c r="D183" s="13" t="s">
        <v>1736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385</v>
      </c>
      <c r="C184" s="68" t="s">
        <v>558</v>
      </c>
      <c r="D184" s="13" t="s">
        <v>395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387</v>
      </c>
      <c r="C185" s="68" t="s">
        <v>558</v>
      </c>
      <c r="D185" s="13" t="s">
        <v>395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644</v>
      </c>
      <c r="C186" s="68" t="s">
        <v>389</v>
      </c>
      <c r="D186" s="13" t="s">
        <v>395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388</v>
      </c>
      <c r="C187" s="68" t="s">
        <v>389</v>
      </c>
      <c r="D187" s="13" t="s">
        <v>395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360</v>
      </c>
      <c r="C188" s="68" t="s">
        <v>558</v>
      </c>
      <c r="D188" s="13" t="s">
        <v>400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394</v>
      </c>
      <c r="C189" s="68" t="s">
        <v>558</v>
      </c>
      <c r="D189" s="13" t="s">
        <v>923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120</v>
      </c>
      <c r="C190" s="85" t="s">
        <v>1767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408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224" t="s">
        <v>1768</v>
      </c>
      <c r="B1" s="1224"/>
      <c r="C1" s="1224"/>
      <c r="D1" s="1224"/>
      <c r="E1" s="1224"/>
      <c r="F1" s="1224"/>
    </row>
    <row r="2" spans="1:6" ht="18.75">
      <c r="A2" s="1170" t="s">
        <v>1769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948475.68</v>
      </c>
      <c r="E4" s="47">
        <f>SUMMARY!F3</f>
        <v>79039.64</v>
      </c>
      <c r="F4" s="44"/>
    </row>
    <row r="5" spans="1:6" ht="18.75">
      <c r="A5" s="1215" t="s">
        <v>1773</v>
      </c>
      <c r="B5" s="1215"/>
      <c r="C5" s="1215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1215" t="s">
        <v>1774</v>
      </c>
      <c r="B6" s="1215"/>
      <c r="C6" s="1215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215" t="s">
        <v>1775</v>
      </c>
      <c r="B7" s="1215"/>
      <c r="C7" s="1215"/>
      <c r="D7" s="47">
        <f t="shared" si="0"/>
        <v>962932.56</v>
      </c>
      <c r="E7" s="47">
        <f>SUMMARY!J3</f>
        <v>80244.38</v>
      </c>
      <c r="F7" s="44"/>
    </row>
    <row r="8" spans="1:6" ht="18.75">
      <c r="A8" s="1215" t="s">
        <v>1776</v>
      </c>
      <c r="B8" s="1215"/>
      <c r="C8" s="1215"/>
      <c r="D8" s="47">
        <f t="shared" si="0"/>
        <v>474237.84</v>
      </c>
      <c r="E8" s="47">
        <f>SUMMARY!K3</f>
        <v>39519.82</v>
      </c>
      <c r="F8" s="44"/>
    </row>
    <row r="9" spans="1:6" ht="18.75">
      <c r="A9" s="1215" t="s">
        <v>1777</v>
      </c>
      <c r="B9" s="1215"/>
      <c r="C9" s="1215"/>
      <c r="D9" s="47">
        <f t="shared" si="0"/>
        <v>3319664.88</v>
      </c>
      <c r="E9" s="47">
        <f>SUMMARY!L3</f>
        <v>276638.74</v>
      </c>
      <c r="F9" s="44"/>
    </row>
    <row r="10" spans="1:6" ht="18.75">
      <c r="A10" s="1193" t="s">
        <v>1778</v>
      </c>
      <c r="B10" s="1225"/>
      <c r="C10" s="1194"/>
      <c r="D10" s="47">
        <f t="shared" si="0"/>
        <v>0</v>
      </c>
      <c r="E10" s="47"/>
      <c r="F10" s="44"/>
    </row>
    <row r="11" spans="1:6" ht="18.75">
      <c r="A11" s="1215" t="s">
        <v>1779</v>
      </c>
      <c r="B11" s="1215"/>
      <c r="C11" s="1215"/>
      <c r="D11" s="47">
        <f t="shared" si="0"/>
        <v>948475.68</v>
      </c>
      <c r="E11" s="47">
        <f>SUMMARY!N3</f>
        <v>79039.64</v>
      </c>
      <c r="F11" s="44"/>
    </row>
    <row r="12" spans="1:6" ht="18.75">
      <c r="A12" s="1215" t="s">
        <v>1780</v>
      </c>
      <c r="B12" s="1215"/>
      <c r="C12" s="1215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215" t="s">
        <v>1781</v>
      </c>
      <c r="B13" s="1215"/>
      <c r="C13" s="1215"/>
      <c r="D13" s="47">
        <f t="shared" si="0"/>
        <v>240000</v>
      </c>
      <c r="E13" s="47">
        <f>SUMMARY!P3</f>
        <v>20000</v>
      </c>
      <c r="F13" s="44"/>
    </row>
    <row r="14" spans="1:6" ht="18.75">
      <c r="A14" s="1189" t="s">
        <v>9</v>
      </c>
      <c r="B14" s="1189"/>
      <c r="C14" s="1189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226" t="s">
        <v>1782</v>
      </c>
      <c r="B1" s="1226"/>
      <c r="C1" s="1226"/>
      <c r="D1" s="1226"/>
      <c r="E1" s="1226"/>
      <c r="F1" s="1226"/>
    </row>
    <row r="2" spans="1:6" ht="18.75">
      <c r="A2" s="1170" t="s">
        <v>1783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 t="e">
        <f>E4*12</f>
        <v>#REF!</v>
      </c>
      <c r="E4" s="47" t="e">
        <f>'JANUARY 2026'!#REF!</f>
        <v>#REF!</v>
      </c>
      <c r="F4" s="44"/>
    </row>
    <row r="5" spans="1:6" ht="18.75">
      <c r="A5" s="1215" t="s">
        <v>1773</v>
      </c>
      <c r="B5" s="1215"/>
      <c r="C5" s="1215"/>
      <c r="D5" s="47" t="e">
        <f t="shared" ref="D5:D13" si="0">E5*12</f>
        <v>#REF!</v>
      </c>
      <c r="E5" s="47" t="e">
        <f>'JANUARY 2026'!#REF!</f>
        <v>#REF!</v>
      </c>
      <c r="F5" s="44"/>
    </row>
    <row r="6" spans="1:6" ht="18.75">
      <c r="A6" s="1215" t="s">
        <v>1774</v>
      </c>
      <c r="B6" s="1215"/>
      <c r="C6" s="1215"/>
      <c r="D6" s="47" t="e">
        <f t="shared" si="0"/>
        <v>#REF!</v>
      </c>
      <c r="E6" s="47" t="e">
        <f>'JANUARY 2026'!#REF!</f>
        <v>#REF!</v>
      </c>
      <c r="F6" s="44"/>
    </row>
    <row r="7" spans="1:6" ht="18.75">
      <c r="A7" s="1215" t="s">
        <v>1775</v>
      </c>
      <c r="B7" s="1215"/>
      <c r="C7" s="1215"/>
      <c r="D7" s="47" t="e">
        <f t="shared" si="0"/>
        <v>#REF!</v>
      </c>
      <c r="E7" s="47" t="e">
        <f>'JANUARY 2026'!#REF!</f>
        <v>#REF!</v>
      </c>
      <c r="F7" s="44"/>
    </row>
    <row r="8" spans="1:6" ht="18.75">
      <c r="A8" s="1215" t="s">
        <v>1776</v>
      </c>
      <c r="B8" s="1215"/>
      <c r="C8" s="1215"/>
      <c r="D8" s="47" t="e">
        <f t="shared" si="0"/>
        <v>#REF!</v>
      </c>
      <c r="E8" s="47" t="e">
        <f>'JANUARY 2026'!#REF!</f>
        <v>#REF!</v>
      </c>
      <c r="F8" s="44"/>
    </row>
    <row r="9" spans="1:6" ht="18.75">
      <c r="A9" s="1215" t="s">
        <v>1777</v>
      </c>
      <c r="B9" s="1215"/>
      <c r="C9" s="1215"/>
      <c r="D9" s="47" t="e">
        <f t="shared" si="0"/>
        <v>#REF!</v>
      </c>
      <c r="E9" s="47" t="e">
        <f>'JANUARY 2026'!#REF!</f>
        <v>#REF!</v>
      </c>
      <c r="F9" s="44"/>
    </row>
    <row r="10" spans="1:6" ht="18.75">
      <c r="A10" s="1215" t="s">
        <v>1779</v>
      </c>
      <c r="B10" s="1215"/>
      <c r="C10" s="1215"/>
      <c r="D10" s="47" t="e">
        <f t="shared" si="0"/>
        <v>#REF!</v>
      </c>
      <c r="E10" s="47" t="e">
        <f>'JANUARY 2026'!#REF!</f>
        <v>#REF!</v>
      </c>
      <c r="F10" s="44"/>
    </row>
    <row r="11" spans="1:6" ht="18.75">
      <c r="A11" s="1193" t="s">
        <v>1784</v>
      </c>
      <c r="B11" s="1225"/>
      <c r="C11" s="1194"/>
      <c r="D11" s="47">
        <f t="shared" si="0"/>
        <v>1200000</v>
      </c>
      <c r="E11" s="47">
        <v>100000</v>
      </c>
      <c r="F11" s="44"/>
    </row>
    <row r="12" spans="1:6" ht="18.75">
      <c r="A12" s="1215" t="s">
        <v>1780</v>
      </c>
      <c r="B12" s="1215"/>
      <c r="C12" s="1215"/>
      <c r="D12" s="47" t="e">
        <f t="shared" si="0"/>
        <v>#REF!</v>
      </c>
      <c r="E12" s="47" t="e">
        <f>'JANUARY 2026'!#REF!</f>
        <v>#REF!</v>
      </c>
      <c r="F12" s="44"/>
    </row>
    <row r="13" spans="1:6" ht="18.75">
      <c r="A13" s="1215" t="s">
        <v>1781</v>
      </c>
      <c r="B13" s="1215"/>
      <c r="C13" s="1215"/>
      <c r="D13" s="47" t="e">
        <f t="shared" si="0"/>
        <v>#REF!</v>
      </c>
      <c r="E13" s="47" t="e">
        <f>'JANUARY 2026'!#REF!</f>
        <v>#REF!</v>
      </c>
      <c r="F13" s="44"/>
    </row>
    <row r="14" spans="1:6" ht="18.75">
      <c r="A14" s="1189" t="s">
        <v>9</v>
      </c>
      <c r="B14" s="1189"/>
      <c r="C14" s="1189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226" t="s">
        <v>1785</v>
      </c>
      <c r="B1" s="1226"/>
      <c r="C1" s="1226"/>
      <c r="D1" s="1226"/>
      <c r="E1" s="1226"/>
      <c r="F1" s="1226"/>
    </row>
    <row r="2" spans="1:6" ht="18.75">
      <c r="A2" s="1170" t="s">
        <v>1786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20965276.999999899</v>
      </c>
      <c r="E4" s="47">
        <f>'JANUARY 2026'!E124</f>
        <v>1747106.41666666</v>
      </c>
      <c r="F4" s="44"/>
    </row>
    <row r="5" spans="1:6" ht="18.75">
      <c r="A5" s="1215" t="s">
        <v>1773</v>
      </c>
      <c r="B5" s="1215"/>
      <c r="C5" s="1215"/>
      <c r="D5" s="47" t="e">
        <f t="shared" ref="D5:D14" si="0">E5*12</f>
        <v>#REF!</v>
      </c>
      <c r="E5" s="47" t="e">
        <f>'JANUARY 2026'!#REF!</f>
        <v>#REF!</v>
      </c>
      <c r="F5" s="44"/>
    </row>
    <row r="6" spans="1:6" ht="18.75">
      <c r="A6" s="1215" t="s">
        <v>1774</v>
      </c>
      <c r="B6" s="1215"/>
      <c r="C6" s="1215"/>
      <c r="D6" s="47" t="e">
        <f t="shared" si="0"/>
        <v>#REF!</v>
      </c>
      <c r="E6" s="47" t="e">
        <f>'JANUARY 2026'!#REF!</f>
        <v>#REF!</v>
      </c>
      <c r="F6" s="44"/>
    </row>
    <row r="7" spans="1:6" ht="18.75">
      <c r="A7" s="1215" t="s">
        <v>1775</v>
      </c>
      <c r="B7" s="1215"/>
      <c r="C7" s="1215"/>
      <c r="D7" s="47" t="e">
        <f t="shared" si="0"/>
        <v>#REF!</v>
      </c>
      <c r="E7" s="47" t="e">
        <f>'JANUARY 2026'!#REF!</f>
        <v>#REF!</v>
      </c>
      <c r="F7" s="44"/>
    </row>
    <row r="8" spans="1:6" ht="18.75">
      <c r="A8" s="1215" t="s">
        <v>1776</v>
      </c>
      <c r="B8" s="1215"/>
      <c r="C8" s="1215"/>
      <c r="D8" s="47" t="e">
        <f t="shared" si="0"/>
        <v>#REF!</v>
      </c>
      <c r="E8" s="47" t="e">
        <f>'JANUARY 2026'!#REF!</f>
        <v>#REF!</v>
      </c>
      <c r="F8" s="44"/>
    </row>
    <row r="9" spans="1:6" ht="18.75">
      <c r="A9" s="1215" t="s">
        <v>1777</v>
      </c>
      <c r="B9" s="1215"/>
      <c r="C9" s="1215"/>
      <c r="D9" s="47" t="e">
        <f t="shared" si="0"/>
        <v>#REF!</v>
      </c>
      <c r="E9" s="47" t="e">
        <f>'JANUARY 2026'!#REF!</f>
        <v>#REF!</v>
      </c>
      <c r="F9" s="44"/>
    </row>
    <row r="10" spans="1:6" ht="18.75">
      <c r="A10" s="1215" t="s">
        <v>1779</v>
      </c>
      <c r="B10" s="1215"/>
      <c r="C10" s="1215"/>
      <c r="D10" s="47" t="e">
        <f t="shared" si="0"/>
        <v>#REF!</v>
      </c>
      <c r="E10" s="47" t="e">
        <f>'JANUARY 2026'!#REF!</f>
        <v>#REF!</v>
      </c>
      <c r="F10" s="44"/>
    </row>
    <row r="11" spans="1:6" ht="18.75">
      <c r="A11" s="1193" t="s">
        <v>1778</v>
      </c>
      <c r="B11" s="1225"/>
      <c r="C11" s="1194"/>
      <c r="D11" s="47">
        <f t="shared" si="0"/>
        <v>0</v>
      </c>
      <c r="E11" s="47">
        <v>0</v>
      </c>
      <c r="F11" s="44"/>
    </row>
    <row r="12" spans="1:6" ht="18.75">
      <c r="A12" s="1215" t="s">
        <v>1780</v>
      </c>
      <c r="B12" s="1215"/>
      <c r="C12" s="1215"/>
      <c r="D12" s="47" t="e">
        <f t="shared" si="0"/>
        <v>#REF!</v>
      </c>
      <c r="E12" s="47" t="e">
        <f>'JANUARY 2026'!#REF!</f>
        <v>#REF!</v>
      </c>
      <c r="F12" s="44"/>
    </row>
    <row r="13" spans="1:6" ht="18.75">
      <c r="A13" s="1215" t="s">
        <v>1781</v>
      </c>
      <c r="B13" s="1215"/>
      <c r="C13" s="1215"/>
      <c r="D13" s="47">
        <f t="shared" si="0"/>
        <v>240000</v>
      </c>
      <c r="E13" s="47">
        <v>20000</v>
      </c>
      <c r="F13" s="44"/>
    </row>
    <row r="14" spans="1:6" ht="18.75">
      <c r="A14" s="1189" t="s">
        <v>9</v>
      </c>
      <c r="B14" s="1189"/>
      <c r="C14" s="1189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226" t="s">
        <v>1787</v>
      </c>
      <c r="B1" s="1226"/>
      <c r="C1" s="1226"/>
      <c r="D1" s="1226"/>
      <c r="E1" s="1226"/>
      <c r="F1" s="1226"/>
    </row>
    <row r="2" spans="1:6" ht="18.75">
      <c r="A2" s="1170" t="s">
        <v>1788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 t="e">
        <f>E4*12</f>
        <v>#REF!</v>
      </c>
      <c r="E4" s="47" t="e">
        <f>'JANUARY 2026'!#REF!</f>
        <v>#REF!</v>
      </c>
      <c r="F4" s="44"/>
    </row>
    <row r="5" spans="1:6" ht="18.75">
      <c r="A5" s="1215" t="s">
        <v>1773</v>
      </c>
      <c r="B5" s="1215"/>
      <c r="C5" s="1215"/>
      <c r="D5" s="47" t="e">
        <f t="shared" ref="D5:D14" si="0">E5*12</f>
        <v>#REF!</v>
      </c>
      <c r="E5" s="47" t="e">
        <f>'JANUARY 2026'!#REF!</f>
        <v>#REF!</v>
      </c>
      <c r="F5" s="44"/>
    </row>
    <row r="6" spans="1:6" ht="18.75">
      <c r="A6" s="1215" t="s">
        <v>1774</v>
      </c>
      <c r="B6" s="1215"/>
      <c r="C6" s="1215"/>
      <c r="D6" s="47" t="e">
        <f t="shared" si="0"/>
        <v>#REF!</v>
      </c>
      <c r="E6" s="47" t="e">
        <f>'JANUARY 2026'!#REF!</f>
        <v>#REF!</v>
      </c>
      <c r="F6" s="44"/>
    </row>
    <row r="7" spans="1:6" ht="18.75">
      <c r="A7" s="1215" t="s">
        <v>1775</v>
      </c>
      <c r="B7" s="1215"/>
      <c r="C7" s="1215"/>
      <c r="D7" s="47">
        <f t="shared" si="0"/>
        <v>0</v>
      </c>
      <c r="E7" s="47">
        <f>SUMMARY!J6</f>
        <v>0</v>
      </c>
      <c r="F7" s="44"/>
    </row>
    <row r="8" spans="1:6" ht="18.75">
      <c r="A8" s="1215" t="s">
        <v>1776</v>
      </c>
      <c r="B8" s="1215"/>
      <c r="C8" s="1215"/>
      <c r="D8" s="47" t="e">
        <f t="shared" si="0"/>
        <v>#REF!</v>
      </c>
      <c r="E8" s="47" t="e">
        <f>'JANUARY 2026'!#REF!</f>
        <v>#REF!</v>
      </c>
      <c r="F8" s="44"/>
    </row>
    <row r="9" spans="1:6" ht="18.75">
      <c r="A9" s="1215" t="s">
        <v>1777</v>
      </c>
      <c r="B9" s="1215"/>
      <c r="C9" s="1215"/>
      <c r="D9" s="47" t="e">
        <f t="shared" si="0"/>
        <v>#REF!</v>
      </c>
      <c r="E9" s="47" t="e">
        <f>'JANUARY 2026'!#REF!</f>
        <v>#REF!</v>
      </c>
      <c r="F9" s="44"/>
    </row>
    <row r="10" spans="1:6" ht="18.75">
      <c r="A10" s="1215" t="s">
        <v>1779</v>
      </c>
      <c r="B10" s="1215"/>
      <c r="C10" s="1215"/>
      <c r="D10" s="47" t="e">
        <f t="shared" si="0"/>
        <v>#REF!</v>
      </c>
      <c r="E10" s="47" t="e">
        <f>'JANUARY 2026'!#REF!</f>
        <v>#REF!</v>
      </c>
      <c r="F10" s="44"/>
    </row>
    <row r="11" spans="1:6" ht="18.75">
      <c r="A11" s="1193" t="s">
        <v>1778</v>
      </c>
      <c r="B11" s="1225"/>
      <c r="C11" s="1194"/>
      <c r="D11" s="47">
        <f t="shared" si="0"/>
        <v>0</v>
      </c>
      <c r="E11" s="47">
        <v>0</v>
      </c>
      <c r="F11" s="44"/>
    </row>
    <row r="12" spans="1:6" ht="18.75">
      <c r="A12" s="1215" t="s">
        <v>1780</v>
      </c>
      <c r="B12" s="1215"/>
      <c r="C12" s="1215"/>
      <c r="D12" s="47" t="e">
        <f t="shared" si="0"/>
        <v>#REF!</v>
      </c>
      <c r="E12" s="47" t="e">
        <f>'JANUARY 2026'!#REF!</f>
        <v>#REF!</v>
      </c>
      <c r="F12" s="44"/>
    </row>
    <row r="13" spans="1:6" ht="18.75">
      <c r="A13" s="1215" t="s">
        <v>1781</v>
      </c>
      <c r="B13" s="1215"/>
      <c r="C13" s="1215"/>
      <c r="D13" s="47" t="e">
        <f t="shared" si="0"/>
        <v>#REF!</v>
      </c>
      <c r="E13" s="47" t="e">
        <f>'JANUARY 2026'!#REF!</f>
        <v>#REF!</v>
      </c>
      <c r="F13" s="44"/>
    </row>
    <row r="14" spans="1:6" ht="18.75">
      <c r="A14" s="1189" t="s">
        <v>9</v>
      </c>
      <c r="B14" s="1189"/>
      <c r="C14" s="1189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226"/>
      <c r="B1" s="1226"/>
      <c r="C1" s="1226"/>
      <c r="D1" s="1226"/>
      <c r="E1" s="1226"/>
      <c r="F1" s="1226"/>
    </row>
    <row r="2" spans="1:6" ht="18.75">
      <c r="A2" s="1170"/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255527.52</v>
      </c>
      <c r="E4" s="47">
        <f>SUMMARY!F7</f>
        <v>21293.96</v>
      </c>
      <c r="F4" s="44"/>
    </row>
    <row r="5" spans="1:6" ht="18.75">
      <c r="A5" s="1215" t="s">
        <v>1773</v>
      </c>
      <c r="B5" s="1215"/>
      <c r="C5" s="1215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1215" t="s">
        <v>1774</v>
      </c>
      <c r="B6" s="1215"/>
      <c r="C6" s="1215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1215" t="s">
        <v>1775</v>
      </c>
      <c r="B7" s="1215"/>
      <c r="C7" s="1215"/>
      <c r="D7" s="47">
        <f t="shared" si="0"/>
        <v>0</v>
      </c>
      <c r="E7" s="47">
        <f>SUMMARY!J6</f>
        <v>0</v>
      </c>
      <c r="F7" s="44"/>
    </row>
    <row r="8" spans="1:6" ht="18.75">
      <c r="A8" s="1215" t="s">
        <v>1776</v>
      </c>
      <c r="B8" s="1215"/>
      <c r="C8" s="1215"/>
      <c r="D8" s="47">
        <f t="shared" si="0"/>
        <v>127763.76</v>
      </c>
      <c r="E8" s="47">
        <f>SUMMARY!K7</f>
        <v>10646.98</v>
      </c>
      <c r="F8" s="44"/>
    </row>
    <row r="9" spans="1:6" ht="18.75">
      <c r="A9" s="1215" t="s">
        <v>1777</v>
      </c>
      <c r="B9" s="1215"/>
      <c r="C9" s="1215"/>
      <c r="D9" s="47">
        <f t="shared" si="0"/>
        <v>894346.32</v>
      </c>
      <c r="E9" s="47">
        <f>SUMMARY!L7</f>
        <v>74528.86</v>
      </c>
      <c r="F9" s="44"/>
    </row>
    <row r="10" spans="1:6" ht="18.75">
      <c r="A10" s="1215" t="s">
        <v>1779</v>
      </c>
      <c r="B10" s="1215"/>
      <c r="C10" s="1215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215" t="s">
        <v>1780</v>
      </c>
      <c r="B11" s="1215"/>
      <c r="C11" s="1215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215" t="s">
        <v>1781</v>
      </c>
      <c r="B12" s="1215"/>
      <c r="C12" s="1215"/>
      <c r="D12" s="47">
        <f t="shared" si="0"/>
        <v>120000</v>
      </c>
      <c r="E12" s="47">
        <f>SUMMARY!P7</f>
        <v>10000</v>
      </c>
      <c r="F12" s="44"/>
    </row>
    <row r="13" spans="1:6" ht="18.75">
      <c r="A13" s="1189" t="s">
        <v>9</v>
      </c>
      <c r="B13" s="1189"/>
      <c r="C13" s="1189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226" t="s">
        <v>1789</v>
      </c>
      <c r="B1" s="1226"/>
      <c r="C1" s="1226"/>
      <c r="D1" s="1226"/>
      <c r="E1" s="1226"/>
      <c r="F1" s="1226"/>
    </row>
    <row r="2" spans="1:6" ht="18.75">
      <c r="A2" s="1170" t="s">
        <v>1790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207435.96</v>
      </c>
      <c r="E4" s="47">
        <f>SUMMARY!F8</f>
        <v>17286.330000000002</v>
      </c>
      <c r="F4" s="44"/>
    </row>
    <row r="5" spans="1:6" ht="18.75">
      <c r="A5" s="1215" t="s">
        <v>1773</v>
      </c>
      <c r="B5" s="1215"/>
      <c r="C5" s="1215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1215" t="s">
        <v>1774</v>
      </c>
      <c r="B6" s="1215"/>
      <c r="C6" s="1215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215" t="s">
        <v>1775</v>
      </c>
      <c r="B7" s="1215"/>
      <c r="C7" s="1215"/>
      <c r="D7" s="47">
        <f t="shared" si="0"/>
        <v>0</v>
      </c>
      <c r="E7" s="47">
        <f>SUMMARY!J6</f>
        <v>0</v>
      </c>
      <c r="F7" s="44"/>
    </row>
    <row r="8" spans="1:6" ht="18.75">
      <c r="A8" s="1215" t="s">
        <v>1776</v>
      </c>
      <c r="B8" s="1215"/>
      <c r="C8" s="1215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1215" t="s">
        <v>1777</v>
      </c>
      <c r="B9" s="1215"/>
      <c r="C9" s="1215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1215" t="s">
        <v>1779</v>
      </c>
      <c r="B10" s="1215"/>
      <c r="C10" s="1215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1193" t="s">
        <v>1778</v>
      </c>
      <c r="B11" s="1225"/>
      <c r="C11" s="1194"/>
      <c r="D11" s="47">
        <f t="shared" si="0"/>
        <v>480000</v>
      </c>
      <c r="E11" s="47">
        <v>40000</v>
      </c>
      <c r="F11" s="44"/>
    </row>
    <row r="12" spans="1:6" ht="18.75">
      <c r="A12" s="1215" t="s">
        <v>1780</v>
      </c>
      <c r="B12" s="1215"/>
      <c r="C12" s="1215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1215" t="s">
        <v>1781</v>
      </c>
      <c r="B13" s="1215"/>
      <c r="C13" s="1215"/>
      <c r="D13" s="47">
        <f t="shared" si="0"/>
        <v>120000</v>
      </c>
      <c r="E13" s="47">
        <f>SUMMARY!P7</f>
        <v>10000</v>
      </c>
      <c r="F13" s="44"/>
    </row>
    <row r="14" spans="1:6" ht="18.75">
      <c r="A14" s="1189" t="s">
        <v>9</v>
      </c>
      <c r="B14" s="1189"/>
      <c r="C14" s="1189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226" t="s">
        <v>1791</v>
      </c>
      <c r="B1" s="1226"/>
      <c r="C1" s="1226"/>
      <c r="D1" s="1226"/>
      <c r="E1" s="1226"/>
      <c r="F1" s="1226"/>
    </row>
    <row r="2" spans="1:6" ht="18.75">
      <c r="A2" s="1170" t="s">
        <v>1792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176833.68</v>
      </c>
      <c r="E4" s="47">
        <f>SUMMARY!F9</f>
        <v>14736.14</v>
      </c>
      <c r="F4" s="44"/>
    </row>
    <row r="5" spans="1:6" ht="18.75">
      <c r="A5" s="1215" t="s">
        <v>1773</v>
      </c>
      <c r="B5" s="1215"/>
      <c r="C5" s="1215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215" t="s">
        <v>1774</v>
      </c>
      <c r="B6" s="1215"/>
      <c r="C6" s="1215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1215" t="s">
        <v>1775</v>
      </c>
      <c r="B7" s="1215"/>
      <c r="C7" s="1215"/>
      <c r="D7" s="47">
        <f t="shared" si="0"/>
        <v>0</v>
      </c>
      <c r="E7" s="47">
        <f>SUMMARY!J6</f>
        <v>0</v>
      </c>
      <c r="F7" s="44"/>
    </row>
    <row r="8" spans="1:6" ht="18.75">
      <c r="A8" s="1215" t="s">
        <v>1776</v>
      </c>
      <c r="B8" s="1215"/>
      <c r="C8" s="1215"/>
      <c r="D8" s="47">
        <f t="shared" si="0"/>
        <v>88416.84</v>
      </c>
      <c r="E8" s="47">
        <f>SUMMARY!K9</f>
        <v>7368.07</v>
      </c>
      <c r="F8" s="44"/>
    </row>
    <row r="9" spans="1:6" ht="18.75">
      <c r="A9" s="1215" t="s">
        <v>1777</v>
      </c>
      <c r="B9" s="1215"/>
      <c r="C9" s="1215"/>
      <c r="D9" s="47">
        <f t="shared" si="0"/>
        <v>618917.88</v>
      </c>
      <c r="E9" s="47">
        <f>SUMMARY!L9</f>
        <v>51576.49</v>
      </c>
      <c r="F9" s="44"/>
    </row>
    <row r="10" spans="1:6" ht="18.75">
      <c r="A10" s="1215" t="s">
        <v>1779</v>
      </c>
      <c r="B10" s="1215"/>
      <c r="C10" s="1215"/>
      <c r="D10" s="47">
        <f t="shared" si="0"/>
        <v>176833.68</v>
      </c>
      <c r="E10" s="47">
        <f>SUMMARY!N9</f>
        <v>14736.14</v>
      </c>
      <c r="F10" s="44"/>
    </row>
    <row r="11" spans="1:6" ht="18.75">
      <c r="A11" s="1193" t="s">
        <v>1793</v>
      </c>
      <c r="B11" s="1225"/>
      <c r="C11" s="1194"/>
      <c r="D11" s="47">
        <f t="shared" si="0"/>
        <v>480000</v>
      </c>
      <c r="E11" s="47">
        <v>40000</v>
      </c>
      <c r="F11" s="44"/>
    </row>
    <row r="12" spans="1:6" ht="18.75">
      <c r="A12" s="1215" t="s">
        <v>1780</v>
      </c>
      <c r="B12" s="1215"/>
      <c r="C12" s="1215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1215" t="s">
        <v>1781</v>
      </c>
      <c r="B13" s="1215"/>
      <c r="C13" s="1215"/>
      <c r="D13" s="47">
        <f t="shared" si="0"/>
        <v>120000</v>
      </c>
      <c r="E13" s="47">
        <f>SUMMARY!P7</f>
        <v>10000</v>
      </c>
      <c r="F13" s="44"/>
    </row>
    <row r="14" spans="1:6" ht="18.75">
      <c r="A14" s="1189" t="s">
        <v>9</v>
      </c>
      <c r="B14" s="1189"/>
      <c r="C14" s="1189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226" t="s">
        <v>1794</v>
      </c>
      <c r="B1" s="1226"/>
      <c r="C1" s="1226"/>
      <c r="D1" s="1226"/>
      <c r="E1" s="1226"/>
      <c r="F1" s="1226"/>
    </row>
    <row r="2" spans="1:6" ht="18.75">
      <c r="A2" s="1170"/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7075884</v>
      </c>
      <c r="E4" s="47">
        <f>'JANUARY 2026'!E97</f>
        <v>589657</v>
      </c>
      <c r="F4" s="44"/>
    </row>
    <row r="5" spans="1:6" ht="18.75">
      <c r="A5" s="1215" t="s">
        <v>1773</v>
      </c>
      <c r="B5" s="1215"/>
      <c r="C5" s="1215"/>
      <c r="D5" s="47" t="e">
        <f t="shared" ref="D5:D12" si="0">E5*12</f>
        <v>#REF!</v>
      </c>
      <c r="E5" s="47" t="e">
        <f>'JANUARY 2026'!#REF!</f>
        <v>#REF!</v>
      </c>
      <c r="F5" s="44"/>
    </row>
    <row r="6" spans="1:6" ht="18.75">
      <c r="A6" s="1215" t="s">
        <v>1774</v>
      </c>
      <c r="B6" s="1215"/>
      <c r="C6" s="1215"/>
      <c r="D6" s="47" t="e">
        <f t="shared" si="0"/>
        <v>#REF!</v>
      </c>
      <c r="E6" s="47" t="e">
        <f>'JANUARY 2026'!#REF!</f>
        <v>#REF!</v>
      </c>
      <c r="F6" s="44"/>
    </row>
    <row r="7" spans="1:6" ht="18.75">
      <c r="A7" s="1215" t="s">
        <v>1776</v>
      </c>
      <c r="B7" s="1215"/>
      <c r="C7" s="1215"/>
      <c r="D7" s="47" t="e">
        <f t="shared" si="0"/>
        <v>#REF!</v>
      </c>
      <c r="E7" s="47" t="e">
        <f>'JANUARY 2026'!#REF!</f>
        <v>#REF!</v>
      </c>
      <c r="F7" s="44"/>
    </row>
    <row r="8" spans="1:6" ht="18.75">
      <c r="A8" s="1215" t="s">
        <v>1777</v>
      </c>
      <c r="B8" s="1215"/>
      <c r="C8" s="1215"/>
      <c r="D8" s="47" t="e">
        <f t="shared" si="0"/>
        <v>#REF!</v>
      </c>
      <c r="E8" s="47" t="e">
        <f>'JANUARY 2026'!#REF!</f>
        <v>#REF!</v>
      </c>
      <c r="F8" s="44"/>
    </row>
    <row r="9" spans="1:6" ht="18.75">
      <c r="A9" s="1215" t="s">
        <v>1779</v>
      </c>
      <c r="B9" s="1215"/>
      <c r="C9" s="1215"/>
      <c r="D9" s="47" t="e">
        <f t="shared" si="0"/>
        <v>#REF!</v>
      </c>
      <c r="E9" s="47" t="e">
        <f>'JANUARY 2026'!#REF!</f>
        <v>#REF!</v>
      </c>
      <c r="F9" s="44"/>
    </row>
    <row r="10" spans="1:6" ht="18.75">
      <c r="A10" s="1215" t="s">
        <v>1780</v>
      </c>
      <c r="B10" s="1215"/>
      <c r="C10" s="1215"/>
      <c r="D10" s="47" t="e">
        <f t="shared" si="0"/>
        <v>#REF!</v>
      </c>
      <c r="E10" s="47" t="e">
        <f>'JANUARY 2026'!#REF!</f>
        <v>#REF!</v>
      </c>
      <c r="F10" s="44"/>
    </row>
    <row r="11" spans="1:6" ht="18.75">
      <c r="A11" s="1215" t="s">
        <v>1781</v>
      </c>
      <c r="B11" s="1215"/>
      <c r="C11" s="1215"/>
      <c r="D11" s="47" t="e">
        <f t="shared" si="0"/>
        <v>#REF!</v>
      </c>
      <c r="E11" s="47" t="e">
        <f>'JANUARY 2026'!#REF!</f>
        <v>#REF!</v>
      </c>
      <c r="F11" s="44"/>
    </row>
    <row r="12" spans="1:6" ht="18.75">
      <c r="A12" s="1189" t="s">
        <v>9</v>
      </c>
      <c r="B12" s="1189"/>
      <c r="C12" s="1189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1740</v>
      </c>
      <c r="G1" s="50" t="s">
        <v>1795</v>
      </c>
      <c r="H1" s="50"/>
      <c r="I1" s="50"/>
      <c r="J1" s="50"/>
      <c r="K1" s="50"/>
      <c r="L1" s="50"/>
      <c r="M1" s="50" t="s">
        <v>1796</v>
      </c>
      <c r="N1" s="50" t="s">
        <v>1741</v>
      </c>
      <c r="O1" s="50" t="s">
        <v>1742</v>
      </c>
      <c r="P1" s="50" t="s">
        <v>1744</v>
      </c>
      <c r="Q1" s="50" t="s">
        <v>1745</v>
      </c>
      <c r="R1" s="50" t="s">
        <v>1746</v>
      </c>
      <c r="S1" s="50" t="s">
        <v>1797</v>
      </c>
      <c r="T1" s="55"/>
      <c r="U1" s="56" t="s">
        <v>1798</v>
      </c>
      <c r="V1" s="57" t="s">
        <v>1799</v>
      </c>
    </row>
    <row r="2" spans="1:22" ht="18.75">
      <c r="F2" s="50" t="s">
        <v>814</v>
      </c>
      <c r="G2" s="50" t="s">
        <v>1800</v>
      </c>
      <c r="H2" s="50" t="s">
        <v>494</v>
      </c>
      <c r="I2" s="50" t="s">
        <v>1148</v>
      </c>
      <c r="J2" s="50" t="s">
        <v>1149</v>
      </c>
      <c r="K2" s="50" t="s">
        <v>1150</v>
      </c>
      <c r="L2" s="50" t="s">
        <v>1151</v>
      </c>
      <c r="M2" s="50" t="s">
        <v>1801</v>
      </c>
      <c r="N2" s="50" t="s">
        <v>1152</v>
      </c>
      <c r="O2" s="50" t="s">
        <v>7</v>
      </c>
      <c r="P2" s="50" t="s">
        <v>1153</v>
      </c>
      <c r="Q2" s="50" t="s">
        <v>1153</v>
      </c>
      <c r="R2" s="50" t="s">
        <v>8</v>
      </c>
      <c r="S2" s="50" t="s">
        <v>814</v>
      </c>
      <c r="T2" s="50" t="s">
        <v>16</v>
      </c>
      <c r="U2" s="56"/>
      <c r="V2" s="57"/>
    </row>
    <row r="3" spans="1:22" ht="18.75">
      <c r="A3" s="1227" t="s">
        <v>1802</v>
      </c>
      <c r="B3" s="1228"/>
      <c r="C3" s="1229"/>
      <c r="D3" s="51"/>
      <c r="E3" s="51" t="s">
        <v>1803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227" t="s">
        <v>1804</v>
      </c>
      <c r="B4" s="1228"/>
      <c r="C4" s="1229"/>
      <c r="D4" s="51"/>
      <c r="E4" s="51" t="s">
        <v>1805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230" t="s">
        <v>46</v>
      </c>
      <c r="B5" s="1231"/>
      <c r="C5" s="1232"/>
      <c r="D5" s="53"/>
      <c r="E5" s="54" t="s">
        <v>574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227" t="s">
        <v>910</v>
      </c>
      <c r="B6" s="1228"/>
      <c r="C6" s="1229"/>
      <c r="D6" s="51"/>
      <c r="E6" s="51" t="s">
        <v>694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227" t="s">
        <v>1806</v>
      </c>
      <c r="B7" s="1228"/>
      <c r="C7" s="1229"/>
      <c r="D7" s="51"/>
      <c r="E7" s="51" t="s">
        <v>1017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227" t="s">
        <v>150</v>
      </c>
      <c r="B8" s="1228"/>
      <c r="C8" s="1229"/>
      <c r="D8" s="51"/>
      <c r="E8" s="51" t="s">
        <v>1807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227" t="s">
        <v>1808</v>
      </c>
      <c r="B9" s="1228"/>
      <c r="C9" s="1229"/>
      <c r="D9" s="51"/>
      <c r="E9" s="51" t="s">
        <v>1809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227"/>
      <c r="B10" s="1228"/>
      <c r="C10" s="1229"/>
      <c r="D10" s="51"/>
      <c r="E10" s="51" t="s">
        <v>1810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226" t="s">
        <v>1811</v>
      </c>
      <c r="B1" s="1226"/>
      <c r="C1" s="1226"/>
      <c r="D1" s="1226"/>
      <c r="E1" s="1226"/>
      <c r="F1" s="1226"/>
    </row>
    <row r="2" spans="1:6" ht="18.75">
      <c r="A2" s="1170" t="s">
        <v>1812</v>
      </c>
      <c r="B2" s="1170"/>
      <c r="C2" s="1170"/>
      <c r="D2" s="1170"/>
      <c r="E2" s="1170"/>
      <c r="F2" s="1170"/>
    </row>
    <row r="3" spans="1:6" ht="18.75">
      <c r="A3" s="1215"/>
      <c r="B3" s="1215"/>
      <c r="C3" s="1215"/>
      <c r="D3" s="45" t="s">
        <v>1770</v>
      </c>
      <c r="E3" s="45" t="s">
        <v>1771</v>
      </c>
      <c r="F3" s="46"/>
    </row>
    <row r="4" spans="1:6" ht="18.75">
      <c r="A4" s="1215" t="s">
        <v>1772</v>
      </c>
      <c r="B4" s="1215"/>
      <c r="C4" s="1215"/>
      <c r="D4" s="47">
        <f>E4*12</f>
        <v>299709.71999999997</v>
      </c>
      <c r="E4" s="47">
        <f>SUMMARY!F5</f>
        <v>24975.81</v>
      </c>
      <c r="F4" s="44"/>
    </row>
    <row r="5" spans="1:6" ht="18.75">
      <c r="A5" s="1215" t="s">
        <v>1773</v>
      </c>
      <c r="B5" s="1215"/>
      <c r="C5" s="1215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1215" t="s">
        <v>1774</v>
      </c>
      <c r="B6" s="1215"/>
      <c r="C6" s="1215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215" t="s">
        <v>1775</v>
      </c>
      <c r="B7" s="1215"/>
      <c r="C7" s="1215"/>
      <c r="D7" s="47">
        <f t="shared" si="0"/>
        <v>0</v>
      </c>
      <c r="E7" s="47">
        <f>SUMMARY!J6</f>
        <v>0</v>
      </c>
      <c r="F7" s="44"/>
    </row>
    <row r="8" spans="1:6" ht="18.75">
      <c r="A8" s="1215" t="s">
        <v>1776</v>
      </c>
      <c r="B8" s="1215"/>
      <c r="C8" s="1215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1215" t="s">
        <v>1777</v>
      </c>
      <c r="B9" s="1215"/>
      <c r="C9" s="1215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215" t="s">
        <v>1779</v>
      </c>
      <c r="B10" s="1215"/>
      <c r="C10" s="1215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1193" t="s">
        <v>1778</v>
      </c>
      <c r="B11" s="1225"/>
      <c r="C11" s="1194"/>
      <c r="D11" s="47">
        <f t="shared" si="0"/>
        <v>0</v>
      </c>
      <c r="E11" s="47">
        <v>0</v>
      </c>
      <c r="F11" s="44"/>
    </row>
    <row r="12" spans="1:6" ht="18.75">
      <c r="A12" s="1215" t="s">
        <v>1780</v>
      </c>
      <c r="B12" s="1215"/>
      <c r="C12" s="1215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215" t="s">
        <v>1781</v>
      </c>
      <c r="B13" s="1215"/>
      <c r="C13" s="1215"/>
      <c r="D13" s="47">
        <f t="shared" si="0"/>
        <v>240000</v>
      </c>
      <c r="E13" s="47">
        <f>SUMMARY!Q5</f>
        <v>20000</v>
      </c>
      <c r="F13" s="44"/>
    </row>
    <row r="14" spans="1:6" ht="18.75">
      <c r="A14" s="1189" t="s">
        <v>9</v>
      </c>
      <c r="B14" s="1189"/>
      <c r="C14" s="1189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1170" t="s">
        <v>1813</v>
      </c>
      <c r="B1" s="1170"/>
      <c r="C1" s="1170"/>
    </row>
    <row r="2" spans="1:3" ht="18.75">
      <c r="A2" s="1170" t="s">
        <v>1786</v>
      </c>
      <c r="B2" s="1170"/>
      <c r="C2" s="1170"/>
    </row>
    <row r="3" spans="1:3" ht="18.75">
      <c r="A3" s="40"/>
      <c r="B3" s="40" t="s">
        <v>1770</v>
      </c>
      <c r="C3" s="40" t="s">
        <v>1771</v>
      </c>
    </row>
    <row r="4" spans="1:3" ht="18.75">
      <c r="A4" s="41" t="s">
        <v>1772</v>
      </c>
      <c r="B4" s="42">
        <f>C4*12</f>
        <v>475947</v>
      </c>
      <c r="C4" s="42">
        <v>39662.25</v>
      </c>
    </row>
    <row r="5" spans="1:3" ht="18.75">
      <c r="A5" s="41" t="s">
        <v>1773</v>
      </c>
      <c r="B5" s="42">
        <f t="shared" ref="B5:B13" si="0">C5*12</f>
        <v>1427841</v>
      </c>
      <c r="C5" s="42">
        <v>118986.75</v>
      </c>
    </row>
    <row r="6" spans="1:3" ht="18.75">
      <c r="A6" s="41" t="s">
        <v>1774</v>
      </c>
      <c r="B6" s="42">
        <f t="shared" si="0"/>
        <v>35696.04</v>
      </c>
      <c r="C6" s="42">
        <v>2974.67</v>
      </c>
    </row>
    <row r="7" spans="1:3" ht="18.75">
      <c r="A7" s="41" t="s">
        <v>1775</v>
      </c>
      <c r="B7" s="42" t="e">
        <f t="shared" si="0"/>
        <v>#REF!</v>
      </c>
      <c r="C7" s="42" t="e">
        <f>'JANUARY 2026'!#REF!</f>
        <v>#REF!</v>
      </c>
    </row>
    <row r="8" spans="1:3" ht="18.75">
      <c r="A8" s="41" t="s">
        <v>1776</v>
      </c>
      <c r="B8" s="42">
        <f t="shared" si="0"/>
        <v>237973.56</v>
      </c>
      <c r="C8" s="42">
        <v>19831.13</v>
      </c>
    </row>
    <row r="9" spans="1:3" ht="18.75">
      <c r="A9" s="41" t="s">
        <v>1777</v>
      </c>
      <c r="B9" s="42">
        <f t="shared" si="0"/>
        <v>1665814.56</v>
      </c>
      <c r="C9" s="42">
        <v>138817.88</v>
      </c>
    </row>
    <row r="10" spans="1:3" ht="18.75">
      <c r="A10" s="41" t="s">
        <v>1779</v>
      </c>
      <c r="B10" s="42">
        <f t="shared" si="0"/>
        <v>475947</v>
      </c>
      <c r="C10" s="42">
        <v>39662.25</v>
      </c>
    </row>
    <row r="11" spans="1:3" ht="18.75">
      <c r="A11" s="41" t="s">
        <v>1778</v>
      </c>
      <c r="B11" s="42">
        <f t="shared" si="0"/>
        <v>0</v>
      </c>
      <c r="C11" s="42">
        <v>0</v>
      </c>
    </row>
    <row r="12" spans="1:3" ht="18.75">
      <c r="A12" s="41" t="s">
        <v>1780</v>
      </c>
      <c r="B12" s="42">
        <f t="shared" si="0"/>
        <v>47594.76</v>
      </c>
      <c r="C12" s="42">
        <v>3966.23</v>
      </c>
    </row>
    <row r="13" spans="1:3" ht="18.75">
      <c r="A13" s="41" t="s">
        <v>1781</v>
      </c>
      <c r="B13" s="42" t="e">
        <f t="shared" si="0"/>
        <v>#REF!</v>
      </c>
      <c r="C13" s="42" t="e">
        <f>'JANUARY 2026'!#REF!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22</v>
      </c>
      <c r="B3" s="34" t="s">
        <v>4</v>
      </c>
      <c r="C3" s="34" t="s">
        <v>1814</v>
      </c>
      <c r="D3" s="35" t="s">
        <v>21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233" t="s">
        <v>0</v>
      </c>
      <c r="B1" s="1233"/>
      <c r="C1" s="1233"/>
      <c r="D1" s="1233"/>
    </row>
    <row r="2" spans="1:5" ht="33.75" customHeight="1">
      <c r="A2" s="1184" t="s">
        <v>1815</v>
      </c>
      <c r="B2" s="1184"/>
      <c r="C2" s="1184"/>
      <c r="D2" s="1184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22</v>
      </c>
      <c r="B6" s="6" t="s">
        <v>23</v>
      </c>
      <c r="C6" s="6"/>
      <c r="D6" s="6"/>
    </row>
    <row r="7" spans="1:5" ht="20.100000000000001" customHeight="1">
      <c r="A7" s="8">
        <v>1</v>
      </c>
      <c r="B7" s="9" t="s">
        <v>24</v>
      </c>
      <c r="C7" s="10" t="s">
        <v>25</v>
      </c>
      <c r="D7" s="10" t="s">
        <v>26</v>
      </c>
      <c r="E7" s="11"/>
    </row>
    <row r="8" spans="1:5" ht="20.100000000000001" customHeight="1">
      <c r="A8" s="8">
        <v>2</v>
      </c>
      <c r="B8" s="9" t="s">
        <v>1576</v>
      </c>
      <c r="C8" s="2" t="s">
        <v>1577</v>
      </c>
      <c r="D8" s="8" t="s">
        <v>36</v>
      </c>
      <c r="E8" s="11"/>
    </row>
    <row r="9" spans="1:5" ht="20.100000000000001" customHeight="1">
      <c r="A9" s="8">
        <v>3</v>
      </c>
      <c r="B9" s="9" t="s">
        <v>27</v>
      </c>
      <c r="C9" s="10" t="s">
        <v>28</v>
      </c>
      <c r="D9" s="8" t="s">
        <v>29</v>
      </c>
      <c r="E9" s="11"/>
    </row>
    <row r="10" spans="1:5" ht="20.100000000000001" customHeight="1">
      <c r="A10" s="8">
        <v>4</v>
      </c>
      <c r="B10" s="12" t="s">
        <v>30</v>
      </c>
      <c r="C10" s="2" t="s">
        <v>31</v>
      </c>
      <c r="D10" s="13" t="s">
        <v>209</v>
      </c>
      <c r="E10" s="11"/>
    </row>
    <row r="11" spans="1:5" ht="20.100000000000001" customHeight="1">
      <c r="A11" s="8">
        <v>5</v>
      </c>
      <c r="B11" s="12" t="s">
        <v>227</v>
      </c>
      <c r="C11" s="2" t="s">
        <v>1578</v>
      </c>
      <c r="D11" s="14" t="s">
        <v>209</v>
      </c>
      <c r="E11" s="11"/>
    </row>
    <row r="12" spans="1:5" ht="20.100000000000001" customHeight="1">
      <c r="A12" s="8">
        <v>6</v>
      </c>
      <c r="B12" s="9" t="s">
        <v>32</v>
      </c>
      <c r="C12" s="15" t="s">
        <v>33</v>
      </c>
      <c r="D12" s="14" t="s">
        <v>209</v>
      </c>
      <c r="E12" s="11"/>
    </row>
    <row r="13" spans="1:5" ht="20.100000000000001" customHeight="1">
      <c r="A13" s="8">
        <v>7</v>
      </c>
      <c r="B13" s="12" t="s">
        <v>302</v>
      </c>
      <c r="C13" s="2" t="s">
        <v>890</v>
      </c>
      <c r="D13" s="14" t="s">
        <v>209</v>
      </c>
      <c r="E13" s="11"/>
    </row>
    <row r="14" spans="1:5" ht="20.100000000000001" customHeight="1">
      <c r="A14" s="8">
        <v>8</v>
      </c>
      <c r="B14" s="9" t="s">
        <v>34</v>
      </c>
      <c r="C14" s="10" t="s">
        <v>893</v>
      </c>
      <c r="D14" s="13" t="s">
        <v>39</v>
      </c>
      <c r="E14" s="11"/>
    </row>
    <row r="15" spans="1:5" ht="20.100000000000001" customHeight="1">
      <c r="A15" s="8">
        <v>9</v>
      </c>
      <c r="B15" s="16" t="s">
        <v>185</v>
      </c>
      <c r="C15" s="10" t="s">
        <v>909</v>
      </c>
      <c r="D15" s="8" t="s">
        <v>908</v>
      </c>
      <c r="E15" s="11"/>
    </row>
    <row r="16" spans="1:5" ht="20.100000000000001" customHeight="1">
      <c r="A16" s="8">
        <v>10</v>
      </c>
      <c r="B16" s="17" t="s">
        <v>1662</v>
      </c>
      <c r="C16" s="2" t="s">
        <v>1663</v>
      </c>
      <c r="D16" s="14" t="s">
        <v>47</v>
      </c>
      <c r="E16" s="11"/>
    </row>
    <row r="17" spans="1:5" ht="19.5" customHeight="1">
      <c r="A17" s="8">
        <v>11</v>
      </c>
      <c r="B17" s="12" t="s">
        <v>1579</v>
      </c>
      <c r="C17" s="2" t="s">
        <v>619</v>
      </c>
      <c r="D17" s="8" t="s">
        <v>47</v>
      </c>
      <c r="E17" s="11"/>
    </row>
    <row r="18" spans="1:5" ht="19.5" customHeight="1">
      <c r="A18" s="8">
        <v>12</v>
      </c>
      <c r="B18" s="12" t="s">
        <v>1664</v>
      </c>
      <c r="C18" s="2" t="s">
        <v>1665</v>
      </c>
      <c r="D18" s="8" t="s">
        <v>47</v>
      </c>
      <c r="E18" s="11"/>
    </row>
    <row r="19" spans="1:5" ht="20.100000000000001" customHeight="1">
      <c r="A19" s="8">
        <v>13</v>
      </c>
      <c r="B19" s="9" t="s">
        <v>40</v>
      </c>
      <c r="C19" s="2" t="s">
        <v>619</v>
      </c>
      <c r="D19" s="13" t="s">
        <v>47</v>
      </c>
      <c r="E19" s="11"/>
    </row>
    <row r="20" spans="1:5" ht="20.100000000000001" customHeight="1">
      <c r="A20" s="8">
        <v>14</v>
      </c>
      <c r="B20" s="9" t="s">
        <v>51</v>
      </c>
      <c r="C20" s="10" t="s">
        <v>61</v>
      </c>
      <c r="D20" s="13" t="s">
        <v>218</v>
      </c>
      <c r="E20" s="11"/>
    </row>
    <row r="21" spans="1:5" ht="20.100000000000001" customHeight="1">
      <c r="A21" s="8">
        <v>15</v>
      </c>
      <c r="B21" s="16" t="s">
        <v>54</v>
      </c>
      <c r="C21" s="2" t="s">
        <v>55</v>
      </c>
      <c r="D21" s="13" t="s">
        <v>576</v>
      </c>
      <c r="E21" s="11"/>
    </row>
    <row r="22" spans="1:5" ht="20.100000000000001" customHeight="1">
      <c r="A22" s="8">
        <v>16</v>
      </c>
      <c r="B22" s="9" t="s">
        <v>192</v>
      </c>
      <c r="C22" s="10" t="s">
        <v>912</v>
      </c>
      <c r="D22" s="13" t="s">
        <v>70</v>
      </c>
      <c r="E22" s="11"/>
    </row>
    <row r="23" spans="1:5" ht="18.75" customHeight="1">
      <c r="A23" s="8">
        <v>17</v>
      </c>
      <c r="B23" s="9" t="s">
        <v>65</v>
      </c>
      <c r="C23" s="10" t="s">
        <v>177</v>
      </c>
      <c r="D23" s="13" t="s">
        <v>131</v>
      </c>
      <c r="E23" s="11"/>
    </row>
    <row r="24" spans="1:5" ht="18.75" customHeight="1">
      <c r="A24" s="8">
        <v>18</v>
      </c>
      <c r="B24" s="16" t="s">
        <v>1666</v>
      </c>
      <c r="C24" s="10" t="s">
        <v>104</v>
      </c>
      <c r="D24" s="13" t="s">
        <v>78</v>
      </c>
      <c r="E24" s="11"/>
    </row>
    <row r="25" spans="1:5" ht="18.75" customHeight="1">
      <c r="A25" s="8">
        <v>19</v>
      </c>
      <c r="B25" s="2" t="s">
        <v>483</v>
      </c>
      <c r="C25" s="2" t="s">
        <v>94</v>
      </c>
      <c r="D25" s="8" t="s">
        <v>99</v>
      </c>
      <c r="E25" s="11"/>
    </row>
    <row r="26" spans="1:5" ht="18.75" customHeight="1">
      <c r="A26" s="8">
        <v>20</v>
      </c>
      <c r="B26" s="16" t="s">
        <v>79</v>
      </c>
      <c r="C26" s="10" t="s">
        <v>94</v>
      </c>
      <c r="D26" s="13" t="s">
        <v>99</v>
      </c>
      <c r="E26" s="11"/>
    </row>
    <row r="27" spans="1:5" ht="18.75" customHeight="1">
      <c r="A27" s="8">
        <v>21</v>
      </c>
      <c r="B27" s="9" t="s">
        <v>1580</v>
      </c>
      <c r="C27" s="10" t="s">
        <v>1581</v>
      </c>
      <c r="D27" s="13" t="s">
        <v>99</v>
      </c>
      <c r="E27" s="11"/>
    </row>
    <row r="28" spans="1:5" ht="18.75" customHeight="1">
      <c r="A28" s="8">
        <v>22</v>
      </c>
      <c r="B28" s="16" t="s">
        <v>84</v>
      </c>
      <c r="C28" s="10" t="s">
        <v>1528</v>
      </c>
      <c r="D28" s="13" t="s">
        <v>105</v>
      </c>
      <c r="E28" s="11"/>
    </row>
    <row r="29" spans="1:5" ht="18.75" customHeight="1">
      <c r="A29" s="8">
        <v>23</v>
      </c>
      <c r="B29" s="16" t="s">
        <v>87</v>
      </c>
      <c r="C29" s="2" t="s">
        <v>1582</v>
      </c>
      <c r="D29" s="8" t="s">
        <v>105</v>
      </c>
      <c r="E29" s="11"/>
    </row>
    <row r="30" spans="1:5" ht="18.75" customHeight="1">
      <c r="A30" s="8">
        <v>24</v>
      </c>
      <c r="B30" s="16" t="s">
        <v>91</v>
      </c>
      <c r="C30" s="15" t="s">
        <v>622</v>
      </c>
      <c r="D30" s="13" t="s">
        <v>99</v>
      </c>
      <c r="E30" s="11"/>
    </row>
    <row r="31" spans="1:5" ht="18.75" customHeight="1">
      <c r="A31" s="8">
        <v>25</v>
      </c>
      <c r="B31" s="16" t="s">
        <v>95</v>
      </c>
      <c r="C31" s="2" t="s">
        <v>623</v>
      </c>
      <c r="D31" s="8" t="s">
        <v>111</v>
      </c>
      <c r="E31" s="11"/>
    </row>
    <row r="32" spans="1:5" ht="18.75" customHeight="1">
      <c r="A32" s="8">
        <v>26</v>
      </c>
      <c r="B32" s="16" t="s">
        <v>1509</v>
      </c>
      <c r="C32" s="10" t="s">
        <v>104</v>
      </c>
      <c r="D32" s="13" t="s">
        <v>111</v>
      </c>
      <c r="E32" s="11"/>
    </row>
    <row r="33" spans="1:5" ht="18.75" customHeight="1">
      <c r="A33" s="8">
        <v>27</v>
      </c>
      <c r="B33" s="16" t="s">
        <v>1667</v>
      </c>
      <c r="C33" s="10" t="s">
        <v>104</v>
      </c>
      <c r="D33" s="13" t="s">
        <v>111</v>
      </c>
      <c r="E33" s="11"/>
    </row>
    <row r="34" spans="1:5" ht="18.75" customHeight="1">
      <c r="A34" s="8">
        <v>28</v>
      </c>
      <c r="B34" s="16" t="s">
        <v>298</v>
      </c>
      <c r="C34" s="10" t="s">
        <v>293</v>
      </c>
      <c r="D34" s="13" t="s">
        <v>277</v>
      </c>
      <c r="E34" s="11"/>
    </row>
    <row r="35" spans="1:5" ht="20.25" customHeight="1">
      <c r="A35" s="8"/>
      <c r="B35" s="18" t="s">
        <v>120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121</v>
      </c>
      <c r="C37" s="2"/>
      <c r="D37" s="13"/>
      <c r="E37" s="11"/>
    </row>
    <row r="38" spans="1:5" ht="18.75" customHeight="1">
      <c r="A38" s="8">
        <v>1</v>
      </c>
      <c r="B38" s="16" t="s">
        <v>122</v>
      </c>
      <c r="C38" s="2" t="s">
        <v>123</v>
      </c>
      <c r="D38" s="8" t="s">
        <v>124</v>
      </c>
      <c r="E38" s="11"/>
    </row>
    <row r="39" spans="1:5" ht="18.75" customHeight="1">
      <c r="A39" s="8">
        <v>2</v>
      </c>
      <c r="B39" s="16" t="s">
        <v>127</v>
      </c>
      <c r="C39" s="2" t="s">
        <v>1122</v>
      </c>
      <c r="D39" s="8" t="s">
        <v>277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137</v>
      </c>
      <c r="C42" s="3"/>
      <c r="D42" s="22"/>
      <c r="E42" s="11"/>
    </row>
    <row r="43" spans="1:5" ht="20.100000000000001" customHeight="1">
      <c r="A43" s="8">
        <v>1</v>
      </c>
      <c r="B43" s="9" t="s">
        <v>895</v>
      </c>
      <c r="C43" s="2" t="s">
        <v>896</v>
      </c>
      <c r="D43" s="8" t="s">
        <v>124</v>
      </c>
      <c r="E43" s="11"/>
    </row>
    <row r="44" spans="1:5" ht="20.100000000000001" customHeight="1">
      <c r="A44" s="8">
        <v>2</v>
      </c>
      <c r="B44" s="9" t="s">
        <v>897</v>
      </c>
      <c r="C44" s="2" t="s">
        <v>44</v>
      </c>
      <c r="D44" s="8" t="s">
        <v>39</v>
      </c>
      <c r="E44" s="11"/>
    </row>
    <row r="45" spans="1:5" ht="20.100000000000001" customHeight="1">
      <c r="A45" s="8">
        <v>3</v>
      </c>
      <c r="B45" s="9" t="s">
        <v>138</v>
      </c>
      <c r="C45" s="2" t="s">
        <v>142</v>
      </c>
      <c r="D45" s="8" t="s">
        <v>39</v>
      </c>
      <c r="E45" s="11"/>
    </row>
    <row r="46" spans="1:5" ht="20.100000000000001" customHeight="1">
      <c r="A46" s="8">
        <v>4</v>
      </c>
      <c r="B46" s="9" t="s">
        <v>141</v>
      </c>
      <c r="C46" s="2" t="s">
        <v>142</v>
      </c>
      <c r="D46" s="8" t="s">
        <v>39</v>
      </c>
      <c r="E46" s="11"/>
    </row>
    <row r="47" spans="1:5" ht="20.100000000000001" customHeight="1">
      <c r="A47" s="8">
        <v>5</v>
      </c>
      <c r="B47" s="9" t="s">
        <v>143</v>
      </c>
      <c r="C47" s="2" t="s">
        <v>142</v>
      </c>
      <c r="D47" s="8" t="s">
        <v>50</v>
      </c>
      <c r="E47" s="11"/>
    </row>
    <row r="48" spans="1:5" ht="20.100000000000001" customHeight="1">
      <c r="A48" s="8">
        <v>6</v>
      </c>
      <c r="B48" s="9" t="s">
        <v>144</v>
      </c>
      <c r="C48" s="2" t="s">
        <v>46</v>
      </c>
      <c r="D48" s="8" t="s">
        <v>47</v>
      </c>
      <c r="E48" s="11"/>
    </row>
    <row r="49" spans="1:5" ht="20.100000000000001" customHeight="1">
      <c r="A49" s="8">
        <v>7</v>
      </c>
      <c r="B49" s="12" t="s">
        <v>145</v>
      </c>
      <c r="C49" s="2" t="s">
        <v>52</v>
      </c>
      <c r="D49" s="14" t="s">
        <v>47</v>
      </c>
      <c r="E49" s="11"/>
    </row>
    <row r="50" spans="1:5" ht="20.100000000000001" customHeight="1">
      <c r="A50" s="8">
        <v>8</v>
      </c>
      <c r="B50" s="9" t="s">
        <v>1585</v>
      </c>
      <c r="C50" s="2" t="s">
        <v>52</v>
      </c>
      <c r="D50" s="8" t="s">
        <v>214</v>
      </c>
      <c r="E50" s="11"/>
    </row>
    <row r="51" spans="1:5" ht="20.100000000000001" customHeight="1">
      <c r="A51" s="8">
        <v>9</v>
      </c>
      <c r="B51" s="9" t="s">
        <v>45</v>
      </c>
      <c r="C51" s="2" t="s">
        <v>910</v>
      </c>
      <c r="D51" s="8" t="s">
        <v>575</v>
      </c>
      <c r="E51" s="11"/>
    </row>
    <row r="52" spans="1:5" ht="20.100000000000001" customHeight="1">
      <c r="A52" s="8">
        <v>10</v>
      </c>
      <c r="B52" s="9" t="s">
        <v>153</v>
      </c>
      <c r="C52" s="2" t="s">
        <v>150</v>
      </c>
      <c r="D52" s="8" t="s">
        <v>225</v>
      </c>
      <c r="E52" s="11"/>
    </row>
    <row r="53" spans="1:5" ht="20.100000000000001" customHeight="1">
      <c r="A53" s="8">
        <v>11</v>
      </c>
      <c r="B53" s="9" t="s">
        <v>898</v>
      </c>
      <c r="C53" s="2" t="s">
        <v>150</v>
      </c>
      <c r="D53" s="8" t="s">
        <v>225</v>
      </c>
      <c r="E53" s="11"/>
    </row>
    <row r="54" spans="1:5" ht="20.100000000000001" customHeight="1">
      <c r="A54" s="8">
        <v>12</v>
      </c>
      <c r="B54" s="9" t="s">
        <v>155</v>
      </c>
      <c r="C54" s="2" t="s">
        <v>150</v>
      </c>
      <c r="D54" s="8" t="s">
        <v>225</v>
      </c>
      <c r="E54" s="11"/>
    </row>
    <row r="55" spans="1:5" ht="25.5" customHeight="1">
      <c r="A55" s="8"/>
      <c r="B55" s="18" t="s">
        <v>120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157</v>
      </c>
      <c r="C57" s="19"/>
      <c r="D57" s="19"/>
      <c r="E57" s="11"/>
    </row>
    <row r="58" spans="1:5" ht="20.100000000000001" customHeight="1">
      <c r="A58" s="8">
        <v>1</v>
      </c>
      <c r="B58" s="9" t="s">
        <v>899</v>
      </c>
      <c r="C58" s="10" t="s">
        <v>159</v>
      </c>
      <c r="D58" s="13" t="s">
        <v>124</v>
      </c>
      <c r="E58" s="11"/>
    </row>
    <row r="59" spans="1:5" ht="20.100000000000001" customHeight="1">
      <c r="A59" s="8">
        <v>2</v>
      </c>
      <c r="B59" s="9" t="s">
        <v>160</v>
      </c>
      <c r="C59" s="10" t="s">
        <v>161</v>
      </c>
      <c r="D59" s="13" t="s">
        <v>908</v>
      </c>
      <c r="E59" s="11"/>
    </row>
    <row r="60" spans="1:5" ht="20.100000000000001" customHeight="1">
      <c r="A60" s="8"/>
      <c r="B60" s="18" t="s">
        <v>120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163</v>
      </c>
      <c r="C62" s="19"/>
      <c r="D62" s="19"/>
      <c r="E62" s="11"/>
    </row>
    <row r="63" spans="1:5" ht="20.100000000000001" customHeight="1">
      <c r="A63" s="8">
        <v>1</v>
      </c>
      <c r="B63" s="9" t="s">
        <v>900</v>
      </c>
      <c r="C63" s="15" t="s">
        <v>901</v>
      </c>
      <c r="D63" s="8" t="s">
        <v>124</v>
      </c>
      <c r="E63" s="11"/>
    </row>
    <row r="64" spans="1:5" ht="20.100000000000001" customHeight="1">
      <c r="A64" s="8">
        <v>2</v>
      </c>
      <c r="B64" s="16" t="s">
        <v>902</v>
      </c>
      <c r="C64" s="15" t="s">
        <v>903</v>
      </c>
      <c r="D64" s="13" t="s">
        <v>1516</v>
      </c>
      <c r="E64" s="11"/>
    </row>
    <row r="65" spans="1:5" ht="20.100000000000001" customHeight="1">
      <c r="A65" s="8">
        <v>3</v>
      </c>
      <c r="B65" s="9" t="s">
        <v>166</v>
      </c>
      <c r="C65" s="2" t="s">
        <v>217</v>
      </c>
      <c r="D65" s="8" t="s">
        <v>575</v>
      </c>
      <c r="E65" s="11"/>
    </row>
    <row r="66" spans="1:5" ht="20.100000000000001" customHeight="1">
      <c r="A66" s="8">
        <v>4</v>
      </c>
      <c r="B66" s="16" t="s">
        <v>904</v>
      </c>
      <c r="C66" s="15" t="s">
        <v>217</v>
      </c>
      <c r="D66" s="13" t="s">
        <v>218</v>
      </c>
      <c r="E66" s="11"/>
    </row>
    <row r="67" spans="1:5" ht="20.100000000000001" customHeight="1">
      <c r="A67" s="8">
        <v>5</v>
      </c>
      <c r="B67" s="12" t="s">
        <v>905</v>
      </c>
      <c r="C67" s="15" t="s">
        <v>52</v>
      </c>
      <c r="D67" s="13" t="s">
        <v>47</v>
      </c>
      <c r="E67" s="11"/>
    </row>
    <row r="68" spans="1:5" ht="20.100000000000001" customHeight="1">
      <c r="A68" s="8">
        <v>6</v>
      </c>
      <c r="B68" s="12" t="s">
        <v>43</v>
      </c>
      <c r="C68" s="15" t="s">
        <v>52</v>
      </c>
      <c r="D68" s="13" t="s">
        <v>214</v>
      </c>
      <c r="E68" s="11"/>
    </row>
    <row r="69" spans="1:5" ht="20.100000000000001" customHeight="1">
      <c r="A69" s="8">
        <v>7</v>
      </c>
      <c r="B69" s="9" t="s">
        <v>170</v>
      </c>
      <c r="C69" s="2" t="s">
        <v>150</v>
      </c>
      <c r="D69" s="8" t="s">
        <v>179</v>
      </c>
      <c r="E69" s="11"/>
    </row>
    <row r="70" spans="1:5" ht="20.100000000000001" customHeight="1">
      <c r="A70" s="8">
        <v>8</v>
      </c>
      <c r="B70" s="9" t="s">
        <v>171</v>
      </c>
      <c r="C70" s="15" t="s">
        <v>72</v>
      </c>
      <c r="D70" s="13" t="s">
        <v>179</v>
      </c>
      <c r="E70" s="11"/>
    </row>
    <row r="71" spans="1:5" ht="20.100000000000001" customHeight="1">
      <c r="A71" s="8">
        <v>9</v>
      </c>
      <c r="B71" s="9" t="s">
        <v>173</v>
      </c>
      <c r="C71" s="15" t="s">
        <v>72</v>
      </c>
      <c r="D71" s="13" t="s">
        <v>179</v>
      </c>
      <c r="E71" s="11"/>
    </row>
    <row r="72" spans="1:5" ht="20.100000000000001" customHeight="1">
      <c r="A72" s="8">
        <v>10</v>
      </c>
      <c r="B72" s="9" t="s">
        <v>174</v>
      </c>
      <c r="C72" s="2" t="s">
        <v>625</v>
      </c>
      <c r="D72" s="8" t="s">
        <v>131</v>
      </c>
      <c r="E72" s="11"/>
    </row>
    <row r="73" spans="1:5" ht="20.100000000000001" customHeight="1">
      <c r="A73" s="8">
        <v>11</v>
      </c>
      <c r="B73" s="9" t="s">
        <v>1668</v>
      </c>
      <c r="C73" s="15" t="s">
        <v>150</v>
      </c>
      <c r="D73" s="8" t="s">
        <v>75</v>
      </c>
      <c r="E73" s="11"/>
    </row>
    <row r="74" spans="1:5" ht="20.100000000000001" customHeight="1">
      <c r="A74" s="8">
        <v>12</v>
      </c>
      <c r="B74" s="9" t="s">
        <v>82</v>
      </c>
      <c r="C74" s="15" t="s">
        <v>69</v>
      </c>
      <c r="D74" s="8" t="s">
        <v>99</v>
      </c>
      <c r="E74" s="11"/>
    </row>
    <row r="75" spans="1:5" ht="20.100000000000001" customHeight="1">
      <c r="A75" s="8">
        <v>13</v>
      </c>
      <c r="B75" s="12" t="s">
        <v>68</v>
      </c>
      <c r="C75" s="15" t="s">
        <v>69</v>
      </c>
      <c r="D75" s="8" t="s">
        <v>111</v>
      </c>
      <c r="E75" s="11"/>
    </row>
    <row r="76" spans="1:5" ht="20.100000000000001" customHeight="1">
      <c r="A76" s="8"/>
      <c r="B76" s="18" t="s">
        <v>120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182</v>
      </c>
      <c r="C78" s="19"/>
      <c r="D78" s="19"/>
      <c r="E78" s="11"/>
    </row>
    <row r="79" spans="1:5" ht="20.100000000000001" customHeight="1">
      <c r="A79" s="8">
        <v>1</v>
      </c>
      <c r="B79" s="9" t="s">
        <v>183</v>
      </c>
      <c r="C79" s="2" t="s">
        <v>184</v>
      </c>
      <c r="D79" s="8" t="s">
        <v>124</v>
      </c>
      <c r="E79" s="11"/>
    </row>
    <row r="80" spans="1:5" ht="20.100000000000001" customHeight="1">
      <c r="A80" s="8">
        <v>2</v>
      </c>
      <c r="B80" s="12" t="s">
        <v>906</v>
      </c>
      <c r="C80" s="2" t="s">
        <v>907</v>
      </c>
      <c r="D80" s="13" t="s">
        <v>1516</v>
      </c>
      <c r="E80" s="11"/>
    </row>
    <row r="81" spans="1:5" ht="20.100000000000001" customHeight="1">
      <c r="A81" s="8">
        <v>3</v>
      </c>
      <c r="B81" s="12" t="s">
        <v>1669</v>
      </c>
      <c r="C81" s="2" t="s">
        <v>1670</v>
      </c>
      <c r="D81" s="13" t="s">
        <v>1516</v>
      </c>
      <c r="E81" s="11"/>
    </row>
    <row r="82" spans="1:5" ht="20.100000000000001" customHeight="1">
      <c r="A82" s="8">
        <v>4</v>
      </c>
      <c r="B82" s="9" t="s">
        <v>189</v>
      </c>
      <c r="C82" s="2" t="s">
        <v>1529</v>
      </c>
      <c r="D82" s="13" t="s">
        <v>575</v>
      </c>
      <c r="E82" s="11"/>
    </row>
    <row r="83" spans="1:5" ht="20.100000000000001" customHeight="1">
      <c r="A83" s="8">
        <v>5</v>
      </c>
      <c r="B83" s="9" t="s">
        <v>196</v>
      </c>
      <c r="C83" s="2" t="s">
        <v>181</v>
      </c>
      <c r="D83" s="8" t="s">
        <v>75</v>
      </c>
      <c r="E83" s="11"/>
    </row>
    <row r="84" spans="1:5" ht="20.100000000000001" customHeight="1">
      <c r="A84" s="8"/>
      <c r="B84" s="18" t="s">
        <v>120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204</v>
      </c>
      <c r="C86" s="23"/>
      <c r="D86" s="19"/>
      <c r="E86" s="11"/>
    </row>
    <row r="87" spans="1:5" ht="20.100000000000001" customHeight="1">
      <c r="A87" s="8">
        <v>1</v>
      </c>
      <c r="B87" s="9" t="s">
        <v>207</v>
      </c>
      <c r="C87" s="2" t="s">
        <v>142</v>
      </c>
      <c r="D87" s="8" t="s">
        <v>39</v>
      </c>
      <c r="E87" s="11"/>
    </row>
    <row r="88" spans="1:5" ht="20.100000000000001" customHeight="1">
      <c r="A88" s="8">
        <v>2</v>
      </c>
      <c r="B88" s="9" t="s">
        <v>205</v>
      </c>
      <c r="C88" s="2" t="s">
        <v>142</v>
      </c>
      <c r="D88" s="8" t="s">
        <v>39</v>
      </c>
      <c r="E88" s="11"/>
    </row>
    <row r="89" spans="1:5" ht="20.100000000000001" customHeight="1">
      <c r="A89" s="8">
        <v>3</v>
      </c>
      <c r="B89" s="12" t="s">
        <v>164</v>
      </c>
      <c r="C89" s="2" t="s">
        <v>52</v>
      </c>
      <c r="D89" s="8" t="s">
        <v>191</v>
      </c>
      <c r="E89" s="11"/>
    </row>
    <row r="90" spans="1:5" ht="20.100000000000001" customHeight="1">
      <c r="A90" s="8">
        <v>4</v>
      </c>
      <c r="B90" s="9" t="s">
        <v>210</v>
      </c>
      <c r="C90" s="2" t="s">
        <v>46</v>
      </c>
      <c r="D90" s="8" t="s">
        <v>47</v>
      </c>
      <c r="E90" s="11"/>
    </row>
    <row r="91" spans="1:5" ht="21.6" customHeight="1">
      <c r="A91" s="8">
        <v>5</v>
      </c>
      <c r="B91" s="9" t="s">
        <v>211</v>
      </c>
      <c r="C91" s="2" t="s">
        <v>910</v>
      </c>
      <c r="D91" s="13" t="s">
        <v>575</v>
      </c>
      <c r="E91" s="11"/>
    </row>
    <row r="92" spans="1:5" ht="21.6" customHeight="1">
      <c r="A92" s="8">
        <v>6</v>
      </c>
      <c r="B92" s="9" t="s">
        <v>212</v>
      </c>
      <c r="C92" s="10" t="s">
        <v>217</v>
      </c>
      <c r="D92" s="13" t="s">
        <v>218</v>
      </c>
      <c r="E92" s="11"/>
    </row>
    <row r="93" spans="1:5" ht="21.6" customHeight="1">
      <c r="A93" s="8">
        <v>7</v>
      </c>
      <c r="B93" s="9" t="s">
        <v>213</v>
      </c>
      <c r="C93" s="10" t="s">
        <v>217</v>
      </c>
      <c r="D93" s="13" t="s">
        <v>218</v>
      </c>
      <c r="E93" s="11"/>
    </row>
    <row r="94" spans="1:5" ht="21.6" customHeight="1">
      <c r="A94" s="8">
        <v>8</v>
      </c>
      <c r="B94" s="9" t="s">
        <v>215</v>
      </c>
      <c r="C94" s="15" t="s">
        <v>72</v>
      </c>
      <c r="D94" s="13" t="s">
        <v>179</v>
      </c>
      <c r="E94" s="11"/>
    </row>
    <row r="95" spans="1:5" ht="21.6" customHeight="1">
      <c r="A95" s="8">
        <v>9</v>
      </c>
      <c r="B95" s="9" t="s">
        <v>220</v>
      </c>
      <c r="C95" s="2" t="s">
        <v>221</v>
      </c>
      <c r="D95" s="8" t="s">
        <v>81</v>
      </c>
      <c r="E95" s="11"/>
    </row>
    <row r="96" spans="1:5" ht="21.6" customHeight="1">
      <c r="A96" s="8">
        <v>10</v>
      </c>
      <c r="B96" s="9" t="s">
        <v>224</v>
      </c>
      <c r="C96" s="15" t="s">
        <v>554</v>
      </c>
      <c r="D96" s="13" t="s">
        <v>111</v>
      </c>
      <c r="E96" s="11"/>
    </row>
    <row r="97" spans="1:5" ht="20.100000000000001" customHeight="1">
      <c r="A97" s="8"/>
      <c r="B97" s="18" t="s">
        <v>120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226</v>
      </c>
      <c r="C99" s="19"/>
      <c r="D99" s="19"/>
      <c r="E99" s="11"/>
    </row>
    <row r="100" spans="1:5" ht="20.100000000000001" customHeight="1">
      <c r="A100" s="8">
        <v>1</v>
      </c>
      <c r="B100" s="16" t="s">
        <v>891</v>
      </c>
      <c r="C100" s="8" t="s">
        <v>892</v>
      </c>
      <c r="D100" s="13" t="s">
        <v>209</v>
      </c>
      <c r="E100" s="11"/>
    </row>
    <row r="101" spans="1:5" ht="20.100000000000001" customHeight="1">
      <c r="A101" s="8">
        <v>2</v>
      </c>
      <c r="B101" s="9" t="s">
        <v>37</v>
      </c>
      <c r="C101" s="2" t="s">
        <v>230</v>
      </c>
      <c r="D101" s="8" t="s">
        <v>47</v>
      </c>
      <c r="E101" s="11"/>
    </row>
    <row r="102" spans="1:5" ht="20.100000000000001" customHeight="1">
      <c r="A102" s="8">
        <v>3</v>
      </c>
      <c r="B102" s="9" t="s">
        <v>235</v>
      </c>
      <c r="C102" s="2" t="s">
        <v>627</v>
      </c>
      <c r="D102" s="13" t="s">
        <v>131</v>
      </c>
      <c r="E102" s="11"/>
    </row>
    <row r="103" spans="1:5" ht="20.100000000000001" customHeight="1">
      <c r="A103" s="8">
        <v>4</v>
      </c>
      <c r="B103" s="9" t="s">
        <v>236</v>
      </c>
      <c r="C103" s="2" t="s">
        <v>1530</v>
      </c>
      <c r="D103" s="13" t="s">
        <v>105</v>
      </c>
      <c r="E103" s="11"/>
    </row>
    <row r="104" spans="1:5" ht="20.100000000000001" customHeight="1">
      <c r="A104" s="2"/>
      <c r="B104" s="18" t="s">
        <v>120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239</v>
      </c>
      <c r="C106" s="2"/>
      <c r="D106" s="2"/>
      <c r="E106" s="11"/>
    </row>
    <row r="107" spans="1:5" ht="20.100000000000001" customHeight="1">
      <c r="A107" s="2">
        <v>1</v>
      </c>
      <c r="B107" s="9" t="s">
        <v>628</v>
      </c>
      <c r="C107" s="10" t="s">
        <v>241</v>
      </c>
      <c r="D107" s="13" t="s">
        <v>124</v>
      </c>
      <c r="E107" s="11"/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209</v>
      </c>
      <c r="E108" s="11"/>
    </row>
    <row r="109" spans="1:5" ht="20.100000000000001" customHeight="1">
      <c r="A109" s="2">
        <v>3</v>
      </c>
      <c r="B109" s="9" t="s">
        <v>244</v>
      </c>
      <c r="C109" s="2" t="s">
        <v>629</v>
      </c>
      <c r="D109" s="8" t="s">
        <v>56</v>
      </c>
      <c r="E109" s="11"/>
    </row>
    <row r="110" spans="1:5" ht="20.100000000000001" customHeight="1">
      <c r="A110" s="2">
        <v>4</v>
      </c>
      <c r="B110" s="9" t="s">
        <v>246</v>
      </c>
      <c r="C110" s="2" t="s">
        <v>629</v>
      </c>
      <c r="D110" s="8" t="s">
        <v>56</v>
      </c>
      <c r="E110" s="11"/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517</v>
      </c>
      <c r="E111" s="11"/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105</v>
      </c>
      <c r="E112" s="11"/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111</v>
      </c>
      <c r="E113" s="11"/>
    </row>
    <row r="114" spans="1:5" ht="25.5" customHeight="1">
      <c r="A114" s="2"/>
      <c r="B114" s="18" t="s">
        <v>120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257</v>
      </c>
      <c r="C116" s="19"/>
      <c r="D116" s="19"/>
      <c r="E116" s="11"/>
    </row>
    <row r="117" spans="1:5" ht="20.100000000000001" customHeight="1">
      <c r="A117" s="8">
        <v>1</v>
      </c>
      <c r="B117" s="9" t="s">
        <v>1593</v>
      </c>
      <c r="C117" s="15" t="s">
        <v>72</v>
      </c>
      <c r="D117" s="13" t="s">
        <v>70</v>
      </c>
      <c r="E117" s="11"/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131</v>
      </c>
      <c r="E118" s="11"/>
    </row>
    <row r="119" spans="1:5" ht="24.75" customHeight="1">
      <c r="A119" s="2"/>
      <c r="B119" s="18" t="s">
        <v>120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280</v>
      </c>
      <c r="C121" s="19"/>
      <c r="D121" s="19"/>
      <c r="E121" s="11"/>
    </row>
    <row r="122" spans="1:5" ht="20.100000000000001" customHeight="1">
      <c r="A122" s="2">
        <v>1</v>
      </c>
      <c r="B122" s="9" t="s">
        <v>281</v>
      </c>
      <c r="C122" s="10" t="s">
        <v>282</v>
      </c>
      <c r="D122" s="13" t="s">
        <v>124</v>
      </c>
      <c r="E122" s="11"/>
    </row>
    <row r="123" spans="1:5" ht="20.100000000000001" customHeight="1">
      <c r="A123" s="2">
        <v>2</v>
      </c>
      <c r="B123" s="9" t="s">
        <v>1691</v>
      </c>
      <c r="C123" s="10" t="s">
        <v>1692</v>
      </c>
      <c r="D123" s="13" t="s">
        <v>36</v>
      </c>
      <c r="E123" s="11"/>
    </row>
    <row r="124" spans="1:5" ht="20.100000000000001" customHeight="1">
      <c r="A124" s="2">
        <v>3</v>
      </c>
      <c r="B124" s="9" t="s">
        <v>283</v>
      </c>
      <c r="C124" s="10" t="s">
        <v>631</v>
      </c>
      <c r="D124" s="13" t="s">
        <v>39</v>
      </c>
      <c r="E124" s="11"/>
    </row>
    <row r="125" spans="1:5" ht="20.100000000000001" customHeight="1">
      <c r="A125" s="2">
        <v>4</v>
      </c>
      <c r="B125" s="12" t="s">
        <v>285</v>
      </c>
      <c r="C125" s="10" t="s">
        <v>631</v>
      </c>
      <c r="D125" s="13" t="s">
        <v>39</v>
      </c>
      <c r="E125" s="11"/>
    </row>
    <row r="126" spans="1:5" ht="20.100000000000001" customHeight="1">
      <c r="A126" s="2">
        <v>5</v>
      </c>
      <c r="B126" s="12" t="s">
        <v>913</v>
      </c>
      <c r="C126" s="10" t="s">
        <v>631</v>
      </c>
      <c r="D126" s="13" t="s">
        <v>42</v>
      </c>
      <c r="E126" s="11"/>
    </row>
    <row r="127" spans="1:5" ht="20.100000000000001" customHeight="1">
      <c r="A127" s="2">
        <v>6</v>
      </c>
      <c r="B127" s="9" t="s">
        <v>288</v>
      </c>
      <c r="C127" s="10" t="s">
        <v>290</v>
      </c>
      <c r="D127" s="13" t="s">
        <v>214</v>
      </c>
      <c r="E127" s="11"/>
    </row>
    <row r="128" spans="1:5" ht="20.100000000000001" customHeight="1">
      <c r="A128" s="2">
        <v>7</v>
      </c>
      <c r="B128" s="9" t="s">
        <v>289</v>
      </c>
      <c r="C128" s="10" t="s">
        <v>632</v>
      </c>
      <c r="D128" s="13" t="s">
        <v>575</v>
      </c>
      <c r="E128" s="11"/>
    </row>
    <row r="129" spans="1:5" ht="20.100000000000001" customHeight="1">
      <c r="A129" s="2">
        <v>8</v>
      </c>
      <c r="B129" s="9" t="s">
        <v>291</v>
      </c>
      <c r="C129" s="10" t="s">
        <v>1531</v>
      </c>
      <c r="D129" s="13" t="s">
        <v>575</v>
      </c>
      <c r="E129" s="11"/>
    </row>
    <row r="130" spans="1:5" ht="20.100000000000001" customHeight="1">
      <c r="A130" s="2">
        <v>9</v>
      </c>
      <c r="B130" s="9" t="s">
        <v>294</v>
      </c>
      <c r="C130" s="10" t="s">
        <v>633</v>
      </c>
      <c r="D130" s="8" t="s">
        <v>99</v>
      </c>
      <c r="E130" s="11"/>
    </row>
    <row r="131" spans="1:5" ht="20.100000000000001" customHeight="1">
      <c r="A131" s="2">
        <v>10</v>
      </c>
      <c r="B131" s="16" t="s">
        <v>296</v>
      </c>
      <c r="C131" s="10" t="s">
        <v>297</v>
      </c>
      <c r="D131" s="13" t="s">
        <v>277</v>
      </c>
      <c r="E131" s="11"/>
    </row>
    <row r="132" spans="1:5" ht="20.100000000000001" customHeight="1">
      <c r="A132" s="2"/>
      <c r="B132" s="18" t="s">
        <v>120</v>
      </c>
      <c r="C132" s="24" t="s">
        <v>634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301</v>
      </c>
      <c r="C134" s="10"/>
      <c r="D134" s="13"/>
      <c r="E134" s="11"/>
    </row>
    <row r="135" spans="1:5" ht="20.100000000000001" customHeight="1">
      <c r="A135" s="25">
        <v>1</v>
      </c>
      <c r="B135" s="9" t="s">
        <v>914</v>
      </c>
      <c r="C135" s="10" t="s">
        <v>915</v>
      </c>
      <c r="D135" s="13" t="s">
        <v>124</v>
      </c>
      <c r="E135" s="11"/>
    </row>
    <row r="136" spans="1:5" ht="20.100000000000001" customHeight="1">
      <c r="A136" s="25">
        <v>2</v>
      </c>
      <c r="B136" s="9" t="s">
        <v>916</v>
      </c>
      <c r="C136" s="10" t="s">
        <v>917</v>
      </c>
      <c r="D136" s="13" t="s">
        <v>36</v>
      </c>
      <c r="E136" s="11"/>
    </row>
    <row r="137" spans="1:5" ht="20.100000000000001" customHeight="1">
      <c r="A137" s="25">
        <v>3</v>
      </c>
      <c r="B137" s="12" t="s">
        <v>305</v>
      </c>
      <c r="C137" s="2" t="s">
        <v>306</v>
      </c>
      <c r="D137" s="14" t="s">
        <v>209</v>
      </c>
      <c r="E137" s="11"/>
    </row>
    <row r="138" spans="1:5" ht="20.100000000000001" customHeight="1">
      <c r="A138" s="25">
        <v>4</v>
      </c>
      <c r="B138" s="9" t="s">
        <v>307</v>
      </c>
      <c r="C138" s="10" t="s">
        <v>918</v>
      </c>
      <c r="D138" s="13" t="s">
        <v>47</v>
      </c>
      <c r="E138" s="11"/>
    </row>
    <row r="139" spans="1:5" ht="20.100000000000001" customHeight="1">
      <c r="A139" s="25">
        <v>5</v>
      </c>
      <c r="B139" s="9" t="s">
        <v>309</v>
      </c>
      <c r="C139" s="2" t="s">
        <v>313</v>
      </c>
      <c r="D139" s="13" t="s">
        <v>47</v>
      </c>
      <c r="E139" s="11"/>
    </row>
    <row r="140" spans="1:5" ht="20.100000000000001" customHeight="1">
      <c r="A140" s="25">
        <v>6</v>
      </c>
      <c r="B140" s="9" t="s">
        <v>229</v>
      </c>
      <c r="C140" s="2" t="s">
        <v>920</v>
      </c>
      <c r="D140" s="13" t="s">
        <v>575</v>
      </c>
      <c r="E140" s="11"/>
    </row>
    <row r="141" spans="1:5" ht="20.100000000000001" customHeight="1">
      <c r="A141" s="25">
        <v>7</v>
      </c>
      <c r="B141" s="9" t="s">
        <v>231</v>
      </c>
      <c r="C141" s="10" t="s">
        <v>919</v>
      </c>
      <c r="D141" s="13" t="s">
        <v>70</v>
      </c>
      <c r="E141" s="11"/>
    </row>
    <row r="142" spans="1:5" ht="20.100000000000001" customHeight="1">
      <c r="A142" s="25">
        <v>8</v>
      </c>
      <c r="B142" s="9" t="s">
        <v>314</v>
      </c>
      <c r="C142" s="10" t="s">
        <v>919</v>
      </c>
      <c r="D142" s="13" t="s">
        <v>70</v>
      </c>
      <c r="E142" s="11"/>
    </row>
    <row r="143" spans="1:5" ht="20.100000000000001" customHeight="1">
      <c r="A143" s="25">
        <v>9</v>
      </c>
      <c r="B143" s="9" t="s">
        <v>315</v>
      </c>
      <c r="C143" s="2" t="s">
        <v>920</v>
      </c>
      <c r="D143" s="13" t="s">
        <v>70</v>
      </c>
      <c r="E143" s="11"/>
    </row>
    <row r="144" spans="1:5" ht="20.100000000000001" customHeight="1">
      <c r="A144" s="25">
        <v>10</v>
      </c>
      <c r="B144" s="9" t="s">
        <v>317</v>
      </c>
      <c r="C144" s="10" t="s">
        <v>636</v>
      </c>
      <c r="D144" s="13" t="s">
        <v>131</v>
      </c>
      <c r="E144" s="11"/>
    </row>
    <row r="145" spans="1:5" ht="20.100000000000001" customHeight="1">
      <c r="A145" s="25">
        <v>11</v>
      </c>
      <c r="B145" s="9" t="s">
        <v>319</v>
      </c>
      <c r="C145" s="10" t="s">
        <v>1533</v>
      </c>
      <c r="D145" s="13" t="s">
        <v>151</v>
      </c>
      <c r="E145" s="11"/>
    </row>
    <row r="146" spans="1:5" ht="20.100000000000001" customHeight="1">
      <c r="A146" s="25">
        <v>12</v>
      </c>
      <c r="B146" s="9" t="s">
        <v>62</v>
      </c>
      <c r="C146" s="10" t="s">
        <v>921</v>
      </c>
      <c r="D146" s="13" t="s">
        <v>70</v>
      </c>
      <c r="E146" s="11"/>
    </row>
    <row r="147" spans="1:5" ht="20.100000000000001" customHeight="1">
      <c r="A147" s="25">
        <v>13</v>
      </c>
      <c r="B147" s="16" t="s">
        <v>321</v>
      </c>
      <c r="C147" s="2" t="s">
        <v>330</v>
      </c>
      <c r="D147" s="13" t="s">
        <v>151</v>
      </c>
      <c r="E147" s="11"/>
    </row>
    <row r="148" spans="1:5" ht="20.100000000000001" customHeight="1">
      <c r="A148" s="25">
        <v>14</v>
      </c>
      <c r="B148" s="9" t="s">
        <v>323</v>
      </c>
      <c r="C148" s="2" t="s">
        <v>922</v>
      </c>
      <c r="D148" s="13" t="s">
        <v>75</v>
      </c>
      <c r="E148" s="11"/>
    </row>
    <row r="149" spans="1:5" ht="20.100000000000001" customHeight="1">
      <c r="A149" s="25">
        <v>15</v>
      </c>
      <c r="B149" s="9" t="s">
        <v>324</v>
      </c>
      <c r="C149" s="2" t="s">
        <v>922</v>
      </c>
      <c r="D149" s="13" t="s">
        <v>78</v>
      </c>
      <c r="E149" s="11"/>
    </row>
    <row r="150" spans="1:5" ht="20.100000000000001" customHeight="1">
      <c r="A150" s="25">
        <v>16</v>
      </c>
      <c r="B150" s="9" t="s">
        <v>326</v>
      </c>
      <c r="C150" s="2" t="s">
        <v>922</v>
      </c>
      <c r="D150" s="13" t="s">
        <v>78</v>
      </c>
      <c r="E150" s="11"/>
    </row>
    <row r="151" spans="1:5" ht="20.100000000000001" customHeight="1">
      <c r="A151" s="25">
        <v>17</v>
      </c>
      <c r="B151" s="9" t="s">
        <v>327</v>
      </c>
      <c r="C151" s="10" t="s">
        <v>328</v>
      </c>
      <c r="D151" s="13" t="s">
        <v>81</v>
      </c>
      <c r="E151" s="11"/>
    </row>
    <row r="152" spans="1:5" ht="20.100000000000001" customHeight="1">
      <c r="A152" s="25">
        <v>18</v>
      </c>
      <c r="B152" s="9" t="s">
        <v>1517</v>
      </c>
      <c r="C152" s="10" t="s">
        <v>330</v>
      </c>
      <c r="D152" s="8" t="s">
        <v>225</v>
      </c>
      <c r="E152" s="11"/>
    </row>
    <row r="153" spans="1:5" ht="20.100000000000001" customHeight="1">
      <c r="A153" s="25">
        <v>19</v>
      </c>
      <c r="B153" s="9" t="s">
        <v>331</v>
      </c>
      <c r="C153" s="10" t="s">
        <v>637</v>
      </c>
      <c r="D153" s="13" t="s">
        <v>75</v>
      </c>
      <c r="E153" s="11"/>
    </row>
    <row r="154" spans="1:5" ht="20.100000000000001" customHeight="1">
      <c r="A154" s="25">
        <v>20</v>
      </c>
      <c r="B154" s="9" t="s">
        <v>333</v>
      </c>
      <c r="C154" s="10" t="s">
        <v>638</v>
      </c>
      <c r="D154" s="13" t="s">
        <v>99</v>
      </c>
      <c r="E154" s="11"/>
    </row>
    <row r="155" spans="1:5" ht="20.100000000000001" customHeight="1">
      <c r="A155" s="25">
        <v>21</v>
      </c>
      <c r="B155" s="9" t="s">
        <v>335</v>
      </c>
      <c r="C155" s="10" t="s">
        <v>639</v>
      </c>
      <c r="D155" s="13" t="s">
        <v>75</v>
      </c>
      <c r="E155" s="11"/>
    </row>
    <row r="156" spans="1:5" ht="20.100000000000001" customHeight="1">
      <c r="A156" s="25">
        <v>22</v>
      </c>
      <c r="B156" s="9" t="s">
        <v>336</v>
      </c>
      <c r="C156" s="10" t="s">
        <v>640</v>
      </c>
      <c r="D156" s="13" t="s">
        <v>99</v>
      </c>
      <c r="E156" s="11"/>
    </row>
    <row r="157" spans="1:5" ht="20.100000000000001" customHeight="1">
      <c r="A157" s="25">
        <v>23</v>
      </c>
      <c r="B157" s="16" t="s">
        <v>338</v>
      </c>
      <c r="C157" s="10" t="s">
        <v>348</v>
      </c>
      <c r="D157" s="13" t="s">
        <v>105</v>
      </c>
      <c r="E157" s="11"/>
    </row>
    <row r="158" spans="1:5" ht="20.100000000000001" customHeight="1">
      <c r="A158" s="25">
        <v>24</v>
      </c>
      <c r="B158" s="16" t="s">
        <v>345</v>
      </c>
      <c r="C158" s="10" t="s">
        <v>346</v>
      </c>
      <c r="D158" s="13" t="s">
        <v>277</v>
      </c>
      <c r="E158" s="11"/>
    </row>
    <row r="159" spans="1:5" ht="20.100000000000001" customHeight="1">
      <c r="A159" s="25">
        <v>25</v>
      </c>
      <c r="B159" s="16" t="s">
        <v>347</v>
      </c>
      <c r="C159" s="10" t="s">
        <v>348</v>
      </c>
      <c r="D159" s="13" t="s">
        <v>277</v>
      </c>
      <c r="E159" s="11"/>
    </row>
    <row r="160" spans="1:5" ht="20.100000000000001" customHeight="1">
      <c r="A160" s="25">
        <v>26</v>
      </c>
      <c r="B160" s="16" t="s">
        <v>349</v>
      </c>
      <c r="C160" s="10" t="s">
        <v>350</v>
      </c>
      <c r="D160" s="13" t="s">
        <v>111</v>
      </c>
      <c r="E160" s="11"/>
    </row>
    <row r="161" spans="1:5" ht="20.100000000000001" customHeight="1">
      <c r="A161" s="25">
        <v>27</v>
      </c>
      <c r="B161" s="16" t="s">
        <v>351</v>
      </c>
      <c r="C161" s="10" t="s">
        <v>641</v>
      </c>
      <c r="D161" s="13" t="s">
        <v>111</v>
      </c>
      <c r="E161" s="11"/>
    </row>
    <row r="162" spans="1:5" ht="20.100000000000001" customHeight="1">
      <c r="A162" s="25">
        <v>28</v>
      </c>
      <c r="B162" s="9" t="s">
        <v>361</v>
      </c>
      <c r="C162" s="10" t="s">
        <v>556</v>
      </c>
      <c r="D162" s="13" t="s">
        <v>379</v>
      </c>
      <c r="E162" s="11"/>
    </row>
    <row r="163" spans="1:5" ht="20.100000000000001" customHeight="1">
      <c r="A163" s="25">
        <v>29</v>
      </c>
      <c r="B163" s="9" t="s">
        <v>364</v>
      </c>
      <c r="C163" s="10" t="s">
        <v>556</v>
      </c>
      <c r="D163" s="13" t="s">
        <v>379</v>
      </c>
      <c r="E163" s="11"/>
    </row>
    <row r="164" spans="1:5" ht="20.100000000000001" customHeight="1">
      <c r="A164" s="25">
        <v>30</v>
      </c>
      <c r="B164" s="9" t="s">
        <v>642</v>
      </c>
      <c r="C164" s="10" t="s">
        <v>556</v>
      </c>
      <c r="D164" s="13" t="s">
        <v>379</v>
      </c>
      <c r="E164" s="11"/>
    </row>
    <row r="165" spans="1:5" ht="20.100000000000001" customHeight="1">
      <c r="A165" s="25">
        <v>31</v>
      </c>
      <c r="B165" s="9" t="s">
        <v>365</v>
      </c>
      <c r="C165" s="10" t="s">
        <v>556</v>
      </c>
      <c r="D165" s="13" t="s">
        <v>379</v>
      </c>
      <c r="E165" s="11"/>
    </row>
    <row r="166" spans="1:5" ht="20.100000000000001" customHeight="1">
      <c r="A166" s="25">
        <v>32</v>
      </c>
      <c r="B166" s="9" t="s">
        <v>366</v>
      </c>
      <c r="C166" s="10" t="s">
        <v>556</v>
      </c>
      <c r="D166" s="13" t="s">
        <v>379</v>
      </c>
      <c r="E166" s="11"/>
    </row>
    <row r="167" spans="1:5" ht="20.100000000000001" customHeight="1">
      <c r="A167" s="25">
        <v>33</v>
      </c>
      <c r="B167" s="9" t="s">
        <v>367</v>
      </c>
      <c r="C167" s="10" t="s">
        <v>556</v>
      </c>
      <c r="D167" s="13" t="s">
        <v>582</v>
      </c>
      <c r="E167" s="11"/>
    </row>
    <row r="168" spans="1:5" ht="20.100000000000001" customHeight="1">
      <c r="A168" s="25">
        <v>34</v>
      </c>
      <c r="B168" s="9" t="s">
        <v>369</v>
      </c>
      <c r="C168" s="10" t="s">
        <v>556</v>
      </c>
      <c r="D168" s="13" t="s">
        <v>582</v>
      </c>
      <c r="E168" s="11"/>
    </row>
    <row r="169" spans="1:5" ht="20.100000000000001" customHeight="1">
      <c r="A169" s="25">
        <v>35</v>
      </c>
      <c r="B169" s="9" t="s">
        <v>1674</v>
      </c>
      <c r="C169" s="10" t="s">
        <v>556</v>
      </c>
      <c r="D169" s="13" t="s">
        <v>582</v>
      </c>
      <c r="E169" s="11"/>
    </row>
    <row r="170" spans="1:5" ht="20.100000000000001" customHeight="1">
      <c r="A170" s="25">
        <v>36</v>
      </c>
      <c r="B170" s="12" t="s">
        <v>370</v>
      </c>
      <c r="C170" s="10" t="s">
        <v>556</v>
      </c>
      <c r="D170" s="13" t="s">
        <v>582</v>
      </c>
      <c r="E170" s="11"/>
    </row>
    <row r="171" spans="1:5" ht="20.100000000000001" customHeight="1">
      <c r="A171" s="25">
        <v>37</v>
      </c>
      <c r="B171" s="9" t="s">
        <v>371</v>
      </c>
      <c r="C171" s="10" t="s">
        <v>556</v>
      </c>
      <c r="D171" s="13" t="s">
        <v>582</v>
      </c>
      <c r="E171" s="11"/>
    </row>
    <row r="172" spans="1:5" ht="20.100000000000001" customHeight="1">
      <c r="A172" s="25">
        <v>38</v>
      </c>
      <c r="B172" s="16" t="s">
        <v>372</v>
      </c>
      <c r="C172" s="10" t="s">
        <v>556</v>
      </c>
      <c r="D172" s="13" t="s">
        <v>582</v>
      </c>
      <c r="E172" s="11"/>
    </row>
    <row r="173" spans="1:5" ht="20.100000000000001" customHeight="1">
      <c r="A173" s="25">
        <v>39</v>
      </c>
      <c r="B173" s="16" t="s">
        <v>359</v>
      </c>
      <c r="C173" s="10" t="s">
        <v>556</v>
      </c>
      <c r="D173" s="13" t="s">
        <v>582</v>
      </c>
      <c r="E173" s="11"/>
    </row>
    <row r="174" spans="1:5" ht="20.100000000000001" customHeight="1">
      <c r="A174" s="25">
        <v>40</v>
      </c>
      <c r="B174" s="9" t="s">
        <v>373</v>
      </c>
      <c r="C174" s="10" t="s">
        <v>389</v>
      </c>
      <c r="D174" s="13" t="s">
        <v>584</v>
      </c>
      <c r="E174" s="11"/>
    </row>
    <row r="175" spans="1:5" ht="20.100000000000001" customHeight="1">
      <c r="A175" s="25">
        <v>41</v>
      </c>
      <c r="B175" s="9" t="s">
        <v>375</v>
      </c>
      <c r="C175" s="10" t="s">
        <v>389</v>
      </c>
      <c r="D175" s="13" t="s">
        <v>584</v>
      </c>
      <c r="E175" s="11"/>
    </row>
    <row r="176" spans="1:5" ht="20.100000000000001" customHeight="1">
      <c r="A176" s="25">
        <v>42</v>
      </c>
      <c r="B176" s="16" t="s">
        <v>376</v>
      </c>
      <c r="C176" s="10" t="s">
        <v>389</v>
      </c>
      <c r="D176" s="13" t="s">
        <v>390</v>
      </c>
      <c r="E176" s="11"/>
    </row>
    <row r="177" spans="1:5" ht="20.100000000000001" customHeight="1">
      <c r="A177" s="25">
        <v>43</v>
      </c>
      <c r="B177" s="9" t="s">
        <v>378</v>
      </c>
      <c r="C177" s="10" t="s">
        <v>389</v>
      </c>
      <c r="D177" s="13" t="s">
        <v>405</v>
      </c>
      <c r="E177" s="11"/>
    </row>
    <row r="178" spans="1:5" ht="20.100000000000001" customHeight="1">
      <c r="A178" s="25">
        <v>44</v>
      </c>
      <c r="B178" s="9" t="s">
        <v>380</v>
      </c>
      <c r="C178" s="10" t="s">
        <v>558</v>
      </c>
      <c r="D178" s="13" t="s">
        <v>1518</v>
      </c>
      <c r="E178" s="11"/>
    </row>
    <row r="179" spans="1:5" ht="20.100000000000001" customHeight="1">
      <c r="A179" s="25">
        <v>45</v>
      </c>
      <c r="B179" s="9" t="s">
        <v>381</v>
      </c>
      <c r="C179" s="10" t="s">
        <v>558</v>
      </c>
      <c r="D179" s="13" t="s">
        <v>1518</v>
      </c>
      <c r="E179" s="11"/>
    </row>
    <row r="180" spans="1:5" ht="20.100000000000001" customHeight="1">
      <c r="A180" s="25">
        <v>46</v>
      </c>
      <c r="B180" s="9" t="s">
        <v>382</v>
      </c>
      <c r="C180" s="10" t="s">
        <v>558</v>
      </c>
      <c r="D180" s="13" t="s">
        <v>1518</v>
      </c>
      <c r="E180" s="11"/>
    </row>
    <row r="181" spans="1:5" ht="20.100000000000001" customHeight="1">
      <c r="A181" s="25">
        <v>47</v>
      </c>
      <c r="B181" s="9" t="s">
        <v>383</v>
      </c>
      <c r="C181" s="10" t="s">
        <v>558</v>
      </c>
      <c r="D181" s="13" t="s">
        <v>1518</v>
      </c>
      <c r="E181" s="11"/>
    </row>
    <row r="182" spans="1:5" ht="20.100000000000001" customHeight="1">
      <c r="A182" s="25">
        <v>48</v>
      </c>
      <c r="B182" s="9" t="s">
        <v>384</v>
      </c>
      <c r="C182" s="10" t="s">
        <v>558</v>
      </c>
      <c r="D182" s="13" t="s">
        <v>1518</v>
      </c>
      <c r="E182" s="11"/>
    </row>
    <row r="183" spans="1:5" ht="20.100000000000001" customHeight="1">
      <c r="A183" s="25">
        <v>49</v>
      </c>
      <c r="B183" s="16" t="s">
        <v>385</v>
      </c>
      <c r="C183" s="10" t="s">
        <v>558</v>
      </c>
      <c r="D183" s="13" t="s">
        <v>1518</v>
      </c>
      <c r="E183" s="11"/>
    </row>
    <row r="184" spans="1:5" ht="20.100000000000001" customHeight="1">
      <c r="A184" s="25">
        <v>50</v>
      </c>
      <c r="B184" s="16" t="s">
        <v>387</v>
      </c>
      <c r="C184" s="10" t="s">
        <v>558</v>
      </c>
      <c r="D184" s="13" t="s">
        <v>1518</v>
      </c>
      <c r="E184" s="11"/>
    </row>
    <row r="185" spans="1:5" ht="20.100000000000001" customHeight="1">
      <c r="A185" s="25">
        <v>51</v>
      </c>
      <c r="B185" s="9" t="s">
        <v>644</v>
      </c>
      <c r="C185" s="10" t="s">
        <v>389</v>
      </c>
      <c r="D185" s="13" t="s">
        <v>1518</v>
      </c>
      <c r="E185" s="11"/>
    </row>
    <row r="186" spans="1:5" ht="20.100000000000001" customHeight="1">
      <c r="A186" s="25">
        <v>52</v>
      </c>
      <c r="B186" s="9" t="s">
        <v>388</v>
      </c>
      <c r="C186" s="10" t="s">
        <v>389</v>
      </c>
      <c r="D186" s="13" t="s">
        <v>1518</v>
      </c>
      <c r="E186" s="11"/>
    </row>
    <row r="187" spans="1:5" ht="20.100000000000001" customHeight="1">
      <c r="A187" s="25">
        <v>53</v>
      </c>
      <c r="B187" s="16" t="s">
        <v>360</v>
      </c>
      <c r="C187" s="10" t="s">
        <v>558</v>
      </c>
      <c r="D187" s="13" t="s">
        <v>1534</v>
      </c>
      <c r="E187" s="11"/>
    </row>
    <row r="188" spans="1:5" ht="20.100000000000001" customHeight="1">
      <c r="A188" s="25">
        <v>54</v>
      </c>
      <c r="B188" s="16" t="s">
        <v>394</v>
      </c>
      <c r="C188" s="10" t="s">
        <v>558</v>
      </c>
      <c r="D188" s="13" t="s">
        <v>585</v>
      </c>
      <c r="E188" s="11"/>
    </row>
    <row r="189" spans="1:5" ht="20.100000000000001" customHeight="1">
      <c r="A189" s="25"/>
      <c r="B189" s="6" t="s">
        <v>120</v>
      </c>
      <c r="C189" s="26" t="s">
        <v>1677</v>
      </c>
      <c r="D189" s="27"/>
      <c r="E189" s="11"/>
    </row>
    <row r="190" spans="1:5" ht="32.25" customHeight="1">
      <c r="A190" s="2"/>
      <c r="B190" s="28" t="s">
        <v>408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130</vt:i4>
      </vt:variant>
      <vt:variant>
        <vt:lpstr>Named Ranges</vt:lpstr>
      </vt:variant>
      <vt:variant>
        <vt:i4>82</vt:i4>
      </vt:variant>
    </vt:vector>
  </HeadingPairs>
  <TitlesOfParts>
    <vt:vector size="212" baseType="lpstr">
      <vt:lpstr>JANUARY 2026</vt:lpstr>
      <vt:lpstr>MEMO</vt:lpstr>
      <vt:lpstr>Changes in PAYE (4)</vt:lpstr>
      <vt:lpstr>FCTIRS Template</vt:lpstr>
      <vt:lpstr>Rent Relief</vt:lpstr>
      <vt:lpstr> Promotions</vt:lpstr>
      <vt:lpstr>Sheet20</vt:lpstr>
      <vt:lpstr>2026 ENHANCED WELFARE</vt:lpstr>
      <vt:lpstr>Sheet19</vt:lpstr>
      <vt:lpstr>New Steps, Pensions &amp; NHF</vt:lpstr>
      <vt:lpstr>Basic &amp; Pensions (2)</vt:lpstr>
      <vt:lpstr>Sum </vt:lpstr>
      <vt:lpstr>2025 Promotions (2)</vt:lpstr>
      <vt:lpstr>Christmas Welfare 2025 (2)</vt:lpstr>
      <vt:lpstr>Sum of Welfare (3)</vt:lpstr>
      <vt:lpstr>New NHF Enrolment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'2026 ENHANCED WELFARE'!Print_Area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'Basic &amp; Pensions (2)'!Print_Area</vt:lpstr>
      <vt:lpstr>'CHRISTMAS WELFARE'!Print_Area</vt:lpstr>
      <vt:lpstr>'Christmas Welfare 2024'!Print_Area</vt:lpstr>
      <vt:lpstr>'Christmas Welfare 2025 (2)'!Print_Area</vt:lpstr>
      <vt:lpstr>Conversion!Print_Area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'JANUARY 2026'!Print_Area</vt:lpstr>
      <vt:lpstr>'JULY 2025 (2)'!Print_Area</vt:lpstr>
      <vt:lpstr>'JUNE 2023 (2)'!Print_Area</vt:lpstr>
      <vt:lpstr>MEMO!Print_Area</vt:lpstr>
      <vt:lpstr>'NEW ENROLMENT IN NOVEMBER (2)'!Print_Area</vt:lpstr>
      <vt:lpstr>'New NHF Enrolment'!Print_Area</vt:lpstr>
      <vt:lpstr>'New NHF Enrolment (2)'!Print_Area</vt:lpstr>
      <vt:lpstr>'New NHF Enrolment (3)'!Print_Area</vt:lpstr>
      <vt:lpstr>'New Steps, Pensions &amp; NHF'!Print_Area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 Promotions'!Print_Titles</vt:lpstr>
      <vt:lpstr>'2025 GL STEPS'!Print_Titles</vt:lpstr>
      <vt:lpstr>'2025 Promotions'!Print_Titles</vt:lpstr>
      <vt:lpstr>'2025 Promotions (2)'!Print_Titles</vt:lpstr>
      <vt:lpstr>'2026 ENHANCED WELFARE'!Print_Titles</vt:lpstr>
      <vt:lpstr>'Additional Leg Duty Allowance'!Print_Titles</vt:lpstr>
      <vt:lpstr>'Arrears Jan-May'!Print_Titles</vt:lpstr>
      <vt:lpstr>'Basic &amp; Pensions'!Print_Titles</vt:lpstr>
      <vt:lpstr>'Basic &amp; Pensions (2)'!Print_Titles</vt:lpstr>
      <vt:lpstr>'CHRISTMAS WELFARE'!Print_Titles</vt:lpstr>
      <vt:lpstr>'Christmas Welfare 2024'!Print_Titles</vt:lpstr>
      <vt:lpstr>'Christmas Welfare 2025 (2)'!Print_Titles</vt:lpstr>
      <vt:lpstr>Conversion!Print_Titles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'JANUARY 2026'!Print_Titles</vt:lpstr>
      <vt:lpstr>'JULY 2025 (2)'!Print_Titles</vt:lpstr>
      <vt:lpstr>'JUNE 2023 (2)'!Print_Titles</vt:lpstr>
      <vt:lpstr>'NEW ENROLMENT IN NOVEMBER (2)'!Print_Titles</vt:lpstr>
      <vt:lpstr>'New NHF Enrolment'!Print_Titles</vt:lpstr>
      <vt:lpstr>'New NHF Enrolment (2)'!Print_Titles</vt:lpstr>
      <vt:lpstr>'New NHF Enrolment (3)'!Print_Titles</vt:lpstr>
      <vt:lpstr>'New Steps, Pensions &amp; NHF'!Print_Titles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2026-02-27T09:44:54Z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1033-12.2.0.23196</vt:lpwstr>
  </property>
</Properties>
</file>